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3- Jurel XV-X\"/>
    </mc:Choice>
  </mc:AlternateContent>
  <bookViews>
    <workbookView xWindow="-120" yWindow="-120" windowWidth="20730" windowHeight="11160" tabRatio="821"/>
  </bookViews>
  <sheets>
    <sheet name="RESUMEN" sheetId="3" r:id="rId1"/>
    <sheet name="CUOTA ARTESANAL" sheetId="1" r:id="rId2"/>
    <sheet name="CUOTA INDUSTRIAL" sheetId="2" r:id="rId3"/>
    <sheet name="Hoja1" sheetId="9" r:id="rId4"/>
    <sheet name="JUREL OROP-PS" sheetId="4" r:id="rId5"/>
    <sheet name="CESIONES INDIVIDUALES" sheetId="5" r:id="rId6"/>
    <sheet name="CONSUMO HUMANO" sheetId="7" r:id="rId7"/>
    <sheet name="MOVIMIENTO IND" sheetId="8" r:id="rId8"/>
    <sheet name="Pag. Web" sheetId="6" r:id="rId9"/>
  </sheets>
  <definedNames>
    <definedName name="_xlnm._FilterDatabase" localSheetId="5" hidden="1">'CESIONES INDIVIDUALES'!$B$5:$H$400</definedName>
    <definedName name="_xlnm._FilterDatabase" localSheetId="1" hidden="1">'CUOTA ARTESANAL'!$B$5:$J$5</definedName>
    <definedName name="_xlnm._FilterDatabase" localSheetId="2" hidden="1">'CUOTA INDUSTRIAL'!$B$5:$Q$26</definedName>
    <definedName name="_xlnm._FilterDatabase" localSheetId="4" hidden="1">'JUREL OROP-PS'!$B$7:$J$7</definedName>
    <definedName name="_xlnm._FilterDatabase" localSheetId="7" hidden="1">'MOVIMIENTO IND'!$A$9:$K$48</definedName>
    <definedName name="_xlnm._FilterDatabase" localSheetId="8" hidden="1">'Pag. Web'!$A$1:$Q$238</definedName>
    <definedName name="_xlnm.Print_Area" localSheetId="7">'MOVIMIENTO IND'!$A$8:$J$64</definedName>
    <definedName name="suma">'CUOTA ARTESANAL'!#REF!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2" l="1"/>
  <c r="G41" i="2"/>
  <c r="H50" i="1" l="1"/>
  <c r="F152" i="5" l="1"/>
  <c r="I152" i="5"/>
  <c r="F154" i="5"/>
  <c r="H10" i="1" l="1"/>
  <c r="I6" i="5" l="1"/>
  <c r="I48" i="5"/>
  <c r="I51" i="8" l="1"/>
  <c r="I213" i="5"/>
  <c r="G213" i="5" s="1"/>
  <c r="N5" i="5"/>
  <c r="H361" i="5"/>
  <c r="I370" i="5"/>
  <c r="H370" i="5" s="1"/>
  <c r="G73" i="2"/>
  <c r="G370" i="5" l="1"/>
  <c r="J21" i="1"/>
  <c r="F50" i="1"/>
  <c r="H30" i="4" l="1"/>
  <c r="H50" i="4"/>
  <c r="J20" i="4"/>
  <c r="H20" i="4"/>
  <c r="I20" i="4" s="1"/>
  <c r="H8" i="4"/>
  <c r="I8" i="4" s="1"/>
  <c r="J8" i="4" l="1"/>
  <c r="G151" i="2"/>
  <c r="G159" i="2"/>
  <c r="J51" i="8"/>
  <c r="G101" i="2"/>
  <c r="G115" i="2"/>
  <c r="H50" i="8"/>
  <c r="J50" i="8" s="1"/>
  <c r="G75" i="2"/>
  <c r="G39" i="2"/>
  <c r="H66" i="4" l="1"/>
  <c r="H33" i="4"/>
  <c r="H44" i="4"/>
  <c r="H25" i="4"/>
  <c r="I17" i="4"/>
  <c r="H17" i="4"/>
  <c r="J14" i="4"/>
  <c r="I14" i="4"/>
  <c r="G14" i="4"/>
  <c r="H14" i="4" s="1"/>
  <c r="E11" i="7"/>
  <c r="H150" i="5"/>
  <c r="H152" i="5"/>
  <c r="I150" i="5"/>
  <c r="G152" i="5" l="1"/>
  <c r="G150" i="5"/>
  <c r="H114" i="5"/>
  <c r="G114" i="5"/>
  <c r="I110" i="5"/>
  <c r="H110" i="5" s="1"/>
  <c r="I145" i="5"/>
  <c r="H145" i="5" s="1"/>
  <c r="I116" i="5"/>
  <c r="H116" i="5" s="1"/>
  <c r="G48" i="5"/>
  <c r="I16" i="5"/>
  <c r="H16" i="5" s="1"/>
  <c r="I262" i="5"/>
  <c r="H262" i="5" s="1"/>
  <c r="I229" i="5"/>
  <c r="G229" i="5" s="1"/>
  <c r="I198" i="5"/>
  <c r="G198" i="5" s="1"/>
  <c r="H213" i="5"/>
  <c r="G110" i="5" l="1"/>
  <c r="G145" i="5"/>
  <c r="G116" i="5"/>
  <c r="H48" i="5"/>
  <c r="G16" i="5"/>
  <c r="G262" i="5"/>
  <c r="H229" i="5"/>
  <c r="H198" i="5"/>
  <c r="I163" i="5"/>
  <c r="H163" i="5" s="1"/>
  <c r="G163" i="5" l="1"/>
  <c r="G133" i="2"/>
  <c r="I158" i="5"/>
  <c r="H158" i="5" s="1"/>
  <c r="G158" i="5"/>
  <c r="G361" i="5"/>
  <c r="G8" i="2"/>
  <c r="I77" i="5" l="1"/>
  <c r="G77" i="5" s="1"/>
  <c r="G352" i="5"/>
  <c r="G345" i="5"/>
  <c r="H345" i="5"/>
  <c r="G346" i="5"/>
  <c r="H346" i="5"/>
  <c r="G347" i="5"/>
  <c r="H347" i="5"/>
  <c r="G348" i="5"/>
  <c r="H348" i="5"/>
  <c r="G349" i="5"/>
  <c r="H349" i="5"/>
  <c r="G350" i="5"/>
  <c r="H350" i="5"/>
  <c r="G351" i="5"/>
  <c r="H351" i="5"/>
  <c r="H352" i="5"/>
  <c r="G353" i="5"/>
  <c r="H353" i="5"/>
  <c r="G354" i="5"/>
  <c r="H354" i="5"/>
  <c r="G355" i="5"/>
  <c r="H355" i="5"/>
  <c r="G356" i="5"/>
  <c r="H356" i="5"/>
  <c r="G357" i="5"/>
  <c r="H357" i="5"/>
  <c r="G358" i="5"/>
  <c r="H358" i="5"/>
  <c r="G359" i="5"/>
  <c r="H359" i="5"/>
  <c r="G360" i="5"/>
  <c r="H360" i="5"/>
  <c r="H344" i="5"/>
  <c r="G344" i="5"/>
  <c r="H77" i="5" l="1"/>
  <c r="H328" i="5" l="1"/>
  <c r="G328" i="5"/>
  <c r="H316" i="5"/>
  <c r="G316" i="5"/>
  <c r="H327" i="5"/>
  <c r="G327" i="5"/>
  <c r="H320" i="5"/>
  <c r="G320" i="5"/>
  <c r="H315" i="5"/>
  <c r="G315" i="5"/>
  <c r="H313" i="5"/>
  <c r="G313" i="5"/>
  <c r="H321" i="5"/>
  <c r="G321" i="5"/>
  <c r="H323" i="5"/>
  <c r="G323" i="5"/>
  <c r="H325" i="5"/>
  <c r="G325" i="5"/>
  <c r="H339" i="5"/>
  <c r="G339" i="5"/>
  <c r="H333" i="5"/>
  <c r="H336" i="5"/>
  <c r="H341" i="5"/>
  <c r="G341" i="5"/>
  <c r="G336" i="5"/>
  <c r="G333" i="5"/>
  <c r="G97" i="2" l="1"/>
  <c r="G18" i="2"/>
  <c r="F49" i="8" l="1"/>
  <c r="J49" i="8" s="1"/>
  <c r="H301" i="5" l="1"/>
  <c r="H302" i="5"/>
  <c r="H303" i="5"/>
  <c r="H304" i="5"/>
  <c r="H305" i="5"/>
  <c r="H306" i="5"/>
  <c r="H307" i="5"/>
  <c r="H308" i="5"/>
  <c r="H309" i="5"/>
  <c r="H310" i="5"/>
  <c r="H311" i="5"/>
  <c r="H312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H299" i="5"/>
  <c r="H300" i="5"/>
  <c r="H298" i="5"/>
  <c r="G299" i="5"/>
  <c r="G300" i="5"/>
  <c r="G298" i="5"/>
  <c r="H295" i="5"/>
  <c r="G295" i="5"/>
  <c r="G293" i="5"/>
  <c r="H293" i="5"/>
  <c r="H292" i="5"/>
  <c r="G292" i="5"/>
  <c r="G85" i="2"/>
  <c r="G139" i="2"/>
  <c r="G6" i="2"/>
  <c r="G77" i="2"/>
  <c r="H48" i="8"/>
  <c r="J48" i="8" s="1"/>
  <c r="F167" i="2"/>
  <c r="F168" i="2"/>
  <c r="H163" i="2"/>
  <c r="J163" i="2" s="1"/>
  <c r="L163" i="2"/>
  <c r="M163" i="2"/>
  <c r="O163" i="2"/>
  <c r="I47" i="8"/>
  <c r="J47" i="8" s="1"/>
  <c r="O71" i="6"/>
  <c r="P71" i="6" s="1"/>
  <c r="O72" i="6"/>
  <c r="P72" i="6" s="1"/>
  <c r="O73" i="6"/>
  <c r="P73" i="6" s="1"/>
  <c r="K72" i="6"/>
  <c r="K71" i="6"/>
  <c r="I72" i="6"/>
  <c r="I71" i="6"/>
  <c r="H72" i="6"/>
  <c r="H71" i="6"/>
  <c r="E72" i="6"/>
  <c r="E73" i="6"/>
  <c r="E71" i="6"/>
  <c r="M59" i="2"/>
  <c r="N59" i="2" s="1"/>
  <c r="J73" i="6" s="1"/>
  <c r="L59" i="2"/>
  <c r="H73" i="6" s="1"/>
  <c r="O59" i="2"/>
  <c r="K73" i="6" s="1"/>
  <c r="G46" i="8"/>
  <c r="J46" i="8" s="1"/>
  <c r="I73" i="6" l="1"/>
  <c r="N163" i="2"/>
  <c r="P163" i="2" s="1"/>
  <c r="K163" i="2"/>
  <c r="H164" i="2"/>
  <c r="J164" i="2" s="1"/>
  <c r="K164" i="2" s="1"/>
  <c r="P59" i="2"/>
  <c r="L73" i="6" s="1"/>
  <c r="Q59" i="2"/>
  <c r="M73" i="6" s="1"/>
  <c r="H59" i="2"/>
  <c r="J71" i="6" s="1"/>
  <c r="G69" i="2"/>
  <c r="G53" i="2"/>
  <c r="G55" i="2"/>
  <c r="F20" i="3"/>
  <c r="F15" i="1"/>
  <c r="G155" i="2"/>
  <c r="I43" i="8"/>
  <c r="G57" i="2"/>
  <c r="G109" i="2"/>
  <c r="G40" i="8"/>
  <c r="H39" i="8"/>
  <c r="H37" i="8"/>
  <c r="H35" i="8"/>
  <c r="Q163" i="2" l="1"/>
  <c r="J59" i="2"/>
  <c r="K59" i="2"/>
  <c r="M71" i="6" s="1"/>
  <c r="I33" i="8"/>
  <c r="H60" i="2" l="1"/>
  <c r="J72" i="6" s="1"/>
  <c r="L71" i="6"/>
  <c r="G93" i="2"/>
  <c r="H34" i="8"/>
  <c r="H20" i="8"/>
  <c r="H21" i="8"/>
  <c r="G16" i="8"/>
  <c r="G149" i="2"/>
  <c r="I13" i="8"/>
  <c r="K60" i="2" l="1"/>
  <c r="M72" i="6" s="1"/>
  <c r="J60" i="2"/>
  <c r="L72" i="6" s="1"/>
  <c r="I11" i="8"/>
  <c r="G131" i="2" l="1"/>
  <c r="I38" i="8"/>
  <c r="I36" i="8"/>
  <c r="J70" i="4"/>
  <c r="I70" i="4"/>
  <c r="H75" i="4"/>
  <c r="J75" i="4" s="1"/>
  <c r="H70" i="4"/>
  <c r="G14" i="2"/>
  <c r="G10" i="2"/>
  <c r="G143" i="2"/>
  <c r="G107" i="2"/>
  <c r="I75" i="4" l="1"/>
  <c r="G167" i="2"/>
  <c r="G111" i="2"/>
  <c r="G121" i="2" s="1"/>
  <c r="H22" i="8"/>
  <c r="I32" i="8" l="1"/>
  <c r="I30" i="8"/>
  <c r="J30" i="8" s="1"/>
  <c r="I31" i="8"/>
  <c r="G51" i="2" l="1"/>
  <c r="G63" i="2" s="1"/>
  <c r="G29" i="8"/>
  <c r="G28" i="8"/>
  <c r="G27" i="8"/>
  <c r="G20" i="2"/>
  <c r="G24" i="2" s="1"/>
  <c r="F19" i="8"/>
  <c r="J19" i="8" s="1"/>
  <c r="J24" i="8"/>
  <c r="F24" i="8"/>
  <c r="F26" i="8"/>
  <c r="J26" i="8" s="1"/>
  <c r="F25" i="8"/>
  <c r="J25" i="8" s="1"/>
  <c r="H23" i="8"/>
  <c r="F43" i="1" l="1"/>
  <c r="F22" i="1"/>
  <c r="G14" i="8" l="1"/>
  <c r="H15" i="8"/>
  <c r="I15" i="8"/>
  <c r="F24" i="3" l="1"/>
  <c r="O5" i="5" l="1"/>
  <c r="P5" i="5" s="1"/>
  <c r="Q5" i="5" l="1"/>
  <c r="F45" i="8"/>
  <c r="G44" i="8" l="1"/>
  <c r="J66" i="4" l="1"/>
  <c r="I50" i="4"/>
  <c r="H55" i="4"/>
  <c r="J55" i="4" s="1"/>
  <c r="I44" i="4"/>
  <c r="I55" i="4" l="1"/>
  <c r="I66" i="4"/>
  <c r="J50" i="4" l="1"/>
  <c r="J44" i="4"/>
  <c r="G42" i="8" l="1"/>
  <c r="H41" i="2"/>
  <c r="G41" i="8"/>
  <c r="F122" i="2" l="1"/>
  <c r="F121" i="2"/>
  <c r="L129" i="2"/>
  <c r="M129" i="2"/>
  <c r="O129" i="2"/>
  <c r="L131" i="2"/>
  <c r="M131" i="2"/>
  <c r="O131" i="2"/>
  <c r="L133" i="2"/>
  <c r="M133" i="2"/>
  <c r="O133" i="2"/>
  <c r="L135" i="2"/>
  <c r="O135" i="2"/>
  <c r="L137" i="2"/>
  <c r="M137" i="2"/>
  <c r="O137" i="2"/>
  <c r="L139" i="2"/>
  <c r="O139" i="2"/>
  <c r="L141" i="2"/>
  <c r="O141" i="2"/>
  <c r="L143" i="2"/>
  <c r="O143" i="2"/>
  <c r="L145" i="2"/>
  <c r="M145" i="2"/>
  <c r="O145" i="2"/>
  <c r="L147" i="2"/>
  <c r="M147" i="2"/>
  <c r="O147" i="2"/>
  <c r="L149" i="2"/>
  <c r="O149" i="2"/>
  <c r="L151" i="2"/>
  <c r="O151" i="2"/>
  <c r="L153" i="2"/>
  <c r="M153" i="2"/>
  <c r="O153" i="2"/>
  <c r="L155" i="2"/>
  <c r="M155" i="2"/>
  <c r="O155" i="2"/>
  <c r="L157" i="2"/>
  <c r="O157" i="2"/>
  <c r="L159" i="2"/>
  <c r="O159" i="2"/>
  <c r="L161" i="2"/>
  <c r="O161" i="2"/>
  <c r="L165" i="2"/>
  <c r="O165" i="2"/>
  <c r="L33" i="2"/>
  <c r="M33" i="2"/>
  <c r="N33" i="2" s="1"/>
  <c r="O33" i="2"/>
  <c r="L35" i="2"/>
  <c r="M35" i="2"/>
  <c r="O35" i="2"/>
  <c r="L37" i="2"/>
  <c r="O37" i="2"/>
  <c r="L39" i="2"/>
  <c r="M39" i="2"/>
  <c r="N39" i="2" s="1"/>
  <c r="O39" i="2"/>
  <c r="L41" i="2"/>
  <c r="M41" i="2"/>
  <c r="N41" i="2" s="1"/>
  <c r="O41" i="2"/>
  <c r="L43" i="2"/>
  <c r="M43" i="2"/>
  <c r="O43" i="2"/>
  <c r="L45" i="2"/>
  <c r="H52" i="6" s="1"/>
  <c r="O45" i="2"/>
  <c r="L47" i="2"/>
  <c r="M47" i="2"/>
  <c r="O47" i="2"/>
  <c r="L49" i="2"/>
  <c r="O49" i="2"/>
  <c r="L51" i="2"/>
  <c r="O51" i="2"/>
  <c r="L53" i="2"/>
  <c r="M53" i="2"/>
  <c r="O53" i="2"/>
  <c r="L55" i="2"/>
  <c r="M55" i="2"/>
  <c r="O55" i="2"/>
  <c r="L57" i="2"/>
  <c r="M57" i="2"/>
  <c r="N57" i="2" s="1"/>
  <c r="O57" i="2"/>
  <c r="L61" i="2"/>
  <c r="O61" i="2"/>
  <c r="L8" i="2"/>
  <c r="M8" i="2"/>
  <c r="O8" i="2"/>
  <c r="L10" i="2"/>
  <c r="O10" i="2"/>
  <c r="L12" i="2"/>
  <c r="M12" i="2"/>
  <c r="O12" i="2"/>
  <c r="O14" i="2"/>
  <c r="L16" i="2"/>
  <c r="M16" i="2"/>
  <c r="O16" i="2"/>
  <c r="L18" i="2"/>
  <c r="O18" i="2"/>
  <c r="L20" i="2"/>
  <c r="O20" i="2"/>
  <c r="L22" i="2"/>
  <c r="M22" i="2"/>
  <c r="O22" i="2"/>
  <c r="L71" i="2"/>
  <c r="M71" i="2"/>
  <c r="O71" i="2"/>
  <c r="L73" i="2"/>
  <c r="O73" i="2"/>
  <c r="L75" i="2"/>
  <c r="M75" i="2"/>
  <c r="O75" i="2"/>
  <c r="L77" i="2"/>
  <c r="O77" i="2"/>
  <c r="L79" i="2"/>
  <c r="O79" i="2"/>
  <c r="L81" i="2"/>
  <c r="M81" i="2"/>
  <c r="O81" i="2"/>
  <c r="L83" i="2"/>
  <c r="M83" i="2"/>
  <c r="O83" i="2"/>
  <c r="L85" i="2"/>
  <c r="M85" i="2"/>
  <c r="O85" i="2"/>
  <c r="L87" i="2"/>
  <c r="M87" i="2"/>
  <c r="O87" i="2"/>
  <c r="L89" i="2"/>
  <c r="M89" i="2"/>
  <c r="O89" i="2"/>
  <c r="L91" i="2"/>
  <c r="O91" i="2"/>
  <c r="L93" i="2"/>
  <c r="M93" i="2"/>
  <c r="O93" i="2"/>
  <c r="L95" i="2"/>
  <c r="O95" i="2"/>
  <c r="L97" i="2"/>
  <c r="M97" i="2"/>
  <c r="O97" i="2"/>
  <c r="L99" i="2"/>
  <c r="O99" i="2"/>
  <c r="L101" i="2"/>
  <c r="O101" i="2"/>
  <c r="L103" i="2"/>
  <c r="N103" i="2" s="1"/>
  <c r="M103" i="2"/>
  <c r="O103" i="2"/>
  <c r="L105" i="2"/>
  <c r="O105" i="2"/>
  <c r="L107" i="2"/>
  <c r="O107" i="2"/>
  <c r="L109" i="2"/>
  <c r="O109" i="2"/>
  <c r="L111" i="2"/>
  <c r="O111" i="2"/>
  <c r="L113" i="2"/>
  <c r="M113" i="2"/>
  <c r="O113" i="2"/>
  <c r="L115" i="2"/>
  <c r="O115" i="2"/>
  <c r="L117" i="2"/>
  <c r="O117" i="2"/>
  <c r="L119" i="2"/>
  <c r="O119" i="2"/>
  <c r="L69" i="2"/>
  <c r="M69" i="2"/>
  <c r="M6" i="2"/>
  <c r="M127" i="2"/>
  <c r="G122" i="2"/>
  <c r="G25" i="2"/>
  <c r="G168" i="2"/>
  <c r="N16" i="2" l="1"/>
  <c r="N131" i="2"/>
  <c r="N155" i="2"/>
  <c r="N97" i="2"/>
  <c r="N85" i="2"/>
  <c r="Q85" i="2" s="1"/>
  <c r="L121" i="2"/>
  <c r="N43" i="2"/>
  <c r="P43" i="2" s="1"/>
  <c r="N87" i="2"/>
  <c r="Q87" i="2" s="1"/>
  <c r="N22" i="2"/>
  <c r="Q22" i="2" s="1"/>
  <c r="N47" i="2"/>
  <c r="P47" i="2" s="1"/>
  <c r="P155" i="2"/>
  <c r="P103" i="2"/>
  <c r="N147" i="2"/>
  <c r="P147" i="2" s="1"/>
  <c r="N113" i="2"/>
  <c r="P113" i="2" s="1"/>
  <c r="N81" i="2"/>
  <c r="P81" i="2" s="1"/>
  <c r="N12" i="2"/>
  <c r="N35" i="2"/>
  <c r="Q35" i="2" s="1"/>
  <c r="N89" i="2"/>
  <c r="P89" i="2" s="1"/>
  <c r="P39" i="2"/>
  <c r="N153" i="2"/>
  <c r="Q153" i="2" s="1"/>
  <c r="N133" i="2"/>
  <c r="P133" i="2" s="1"/>
  <c r="P16" i="2"/>
  <c r="N71" i="2"/>
  <c r="P71" i="2" s="1"/>
  <c r="P87" i="2"/>
  <c r="N8" i="2"/>
  <c r="Q8" i="2" s="1"/>
  <c r="N75" i="2"/>
  <c r="Q75" i="2" s="1"/>
  <c r="Q47" i="2"/>
  <c r="N129" i="2"/>
  <c r="P129" i="2" s="1"/>
  <c r="Q103" i="2"/>
  <c r="N93" i="2"/>
  <c r="Q93" i="2" s="1"/>
  <c r="N83" i="2"/>
  <c r="P83" i="2" s="1"/>
  <c r="P35" i="2"/>
  <c r="N145" i="2"/>
  <c r="Q145" i="2" s="1"/>
  <c r="Q39" i="2"/>
  <c r="N53" i="2"/>
  <c r="P53" i="2" s="1"/>
  <c r="N55" i="2"/>
  <c r="P55" i="2" s="1"/>
  <c r="Q97" i="2"/>
  <c r="Q131" i="2"/>
  <c r="N137" i="2"/>
  <c r="P137" i="2" s="1"/>
  <c r="Q155" i="2"/>
  <c r="P131" i="2"/>
  <c r="P97" i="2"/>
  <c r="P33" i="2"/>
  <c r="Q33" i="2"/>
  <c r="P41" i="2"/>
  <c r="Q41" i="2"/>
  <c r="P57" i="2"/>
  <c r="Q57" i="2"/>
  <c r="Q53" i="2"/>
  <c r="P12" i="2"/>
  <c r="Q12" i="2"/>
  <c r="I121" i="2"/>
  <c r="M119" i="2"/>
  <c r="N119" i="2" s="1"/>
  <c r="M117" i="2"/>
  <c r="N117" i="2" s="1"/>
  <c r="P117" i="2" s="1"/>
  <c r="M154" i="6"/>
  <c r="M151" i="6"/>
  <c r="L154" i="6"/>
  <c r="L151" i="6"/>
  <c r="K154" i="6"/>
  <c r="K153" i="6"/>
  <c r="K152" i="6"/>
  <c r="K151" i="6"/>
  <c r="K150" i="6"/>
  <c r="K149" i="6"/>
  <c r="J154" i="6"/>
  <c r="J151" i="6"/>
  <c r="I154" i="6"/>
  <c r="I153" i="6"/>
  <c r="I152" i="6"/>
  <c r="I151" i="6"/>
  <c r="I150" i="6"/>
  <c r="I149" i="6"/>
  <c r="H154" i="6"/>
  <c r="H153" i="6"/>
  <c r="H152" i="6"/>
  <c r="H151" i="6"/>
  <c r="H150" i="6"/>
  <c r="H149" i="6"/>
  <c r="E153" i="6"/>
  <c r="E154" i="6"/>
  <c r="E152" i="6"/>
  <c r="E150" i="6"/>
  <c r="E151" i="6"/>
  <c r="E149" i="6"/>
  <c r="O154" i="6"/>
  <c r="P154" i="6" s="1"/>
  <c r="O153" i="6"/>
  <c r="P153" i="6" s="1"/>
  <c r="O152" i="6"/>
  <c r="P152" i="6" s="1"/>
  <c r="O151" i="6"/>
  <c r="P151" i="6" s="1"/>
  <c r="O150" i="6"/>
  <c r="P150" i="6" s="1"/>
  <c r="O149" i="6"/>
  <c r="P149" i="6" s="1"/>
  <c r="H118" i="2"/>
  <c r="K118" i="2" s="1"/>
  <c r="M150" i="6" s="1"/>
  <c r="H119" i="2"/>
  <c r="K119" i="2" s="1"/>
  <c r="M152" i="6" s="1"/>
  <c r="H120" i="2"/>
  <c r="K120" i="2" s="1"/>
  <c r="M153" i="6" s="1"/>
  <c r="Q43" i="2" l="1"/>
  <c r="P85" i="2"/>
  <c r="Q81" i="2"/>
  <c r="Q71" i="2"/>
  <c r="P22" i="2"/>
  <c r="P145" i="2"/>
  <c r="Q147" i="2"/>
  <c r="Q137" i="2"/>
  <c r="P75" i="2"/>
  <c r="Q113" i="2"/>
  <c r="P8" i="2"/>
  <c r="Q133" i="2"/>
  <c r="Q89" i="2"/>
  <c r="P93" i="2"/>
  <c r="Q129" i="2"/>
  <c r="P153" i="2"/>
  <c r="P119" i="2"/>
  <c r="Q119" i="2"/>
  <c r="M73" i="2"/>
  <c r="Q83" i="2"/>
  <c r="J118" i="2"/>
  <c r="L150" i="6" s="1"/>
  <c r="J153" i="6"/>
  <c r="H117" i="2"/>
  <c r="J149" i="6" s="1"/>
  <c r="J120" i="2"/>
  <c r="L153" i="6" s="1"/>
  <c r="Q117" i="2"/>
  <c r="J150" i="6"/>
  <c r="Q55" i="2"/>
  <c r="J119" i="2"/>
  <c r="L152" i="6" s="1"/>
  <c r="J152" i="6"/>
  <c r="F169" i="2"/>
  <c r="K117" i="2" l="1"/>
  <c r="M149" i="6" s="1"/>
  <c r="J117" i="2"/>
  <c r="L149" i="6" s="1"/>
  <c r="N73" i="2"/>
  <c r="I168" i="2"/>
  <c r="I167" i="2"/>
  <c r="M165" i="2"/>
  <c r="N165" i="2" s="1"/>
  <c r="J211" i="6" s="1"/>
  <c r="M161" i="2"/>
  <c r="N161" i="2" s="1"/>
  <c r="H161" i="2"/>
  <c r="K210" i="6"/>
  <c r="I210" i="6"/>
  <c r="I207" i="6"/>
  <c r="H211" i="6"/>
  <c r="H210" i="6"/>
  <c r="H209" i="6"/>
  <c r="H208" i="6"/>
  <c r="H207" i="6"/>
  <c r="H206" i="6"/>
  <c r="E211" i="6"/>
  <c r="E210" i="6"/>
  <c r="E209" i="6"/>
  <c r="E208" i="6"/>
  <c r="E207" i="6"/>
  <c r="E206" i="6"/>
  <c r="O207" i="6"/>
  <c r="P207" i="6" s="1"/>
  <c r="O206" i="6"/>
  <c r="P206" i="6" s="1"/>
  <c r="O205" i="6"/>
  <c r="P205" i="6" s="1"/>
  <c r="K205" i="6"/>
  <c r="H205" i="6"/>
  <c r="E205" i="6"/>
  <c r="E198" i="6"/>
  <c r="H198" i="6"/>
  <c r="I198" i="6"/>
  <c r="K198" i="6"/>
  <c r="O198" i="6"/>
  <c r="P198" i="6" s="1"/>
  <c r="E199" i="6"/>
  <c r="H199" i="6"/>
  <c r="I199" i="6"/>
  <c r="K199" i="6"/>
  <c r="O199" i="6"/>
  <c r="P199" i="6" s="1"/>
  <c r="E200" i="6"/>
  <c r="H200" i="6"/>
  <c r="K200" i="6"/>
  <c r="O200" i="6"/>
  <c r="P200" i="6" s="1"/>
  <c r="O211" i="6"/>
  <c r="P211" i="6" s="1"/>
  <c r="O210" i="6"/>
  <c r="P210" i="6" s="1"/>
  <c r="O209" i="6"/>
  <c r="P209" i="6" s="1"/>
  <c r="O208" i="6"/>
  <c r="P208" i="6" s="1"/>
  <c r="K209" i="6"/>
  <c r="H165" i="2"/>
  <c r="J209" i="6" s="1"/>
  <c r="I209" i="6" l="1"/>
  <c r="P165" i="2"/>
  <c r="Q165" i="2"/>
  <c r="P73" i="2"/>
  <c r="Q73" i="2"/>
  <c r="Q161" i="2"/>
  <c r="P161" i="2"/>
  <c r="I211" i="6"/>
  <c r="I206" i="6"/>
  <c r="J208" i="6"/>
  <c r="J161" i="2"/>
  <c r="L206" i="6" s="1"/>
  <c r="K206" i="6"/>
  <c r="I208" i="6"/>
  <c r="J206" i="6"/>
  <c r="J165" i="2"/>
  <c r="J33" i="4" l="1"/>
  <c r="I33" i="4"/>
  <c r="K161" i="2"/>
  <c r="M206" i="6" s="1"/>
  <c r="K165" i="2"/>
  <c r="M209" i="6" s="1"/>
  <c r="L209" i="6"/>
  <c r="H162" i="2"/>
  <c r="J207" i="6" s="1"/>
  <c r="H166" i="2"/>
  <c r="J210" i="6" s="1"/>
  <c r="K207" i="6"/>
  <c r="K208" i="6" l="1"/>
  <c r="J162" i="2"/>
  <c r="K162" i="2" l="1"/>
  <c r="M207" i="6" s="1"/>
  <c r="L207" i="6"/>
  <c r="J166" i="2"/>
  <c r="M208" i="6"/>
  <c r="L208" i="6"/>
  <c r="M149" i="2"/>
  <c r="N149" i="2" s="1"/>
  <c r="I10" i="8"/>
  <c r="M151" i="2"/>
  <c r="N151" i="2" s="1"/>
  <c r="I12" i="8"/>
  <c r="P151" i="2" l="1"/>
  <c r="Q151" i="2"/>
  <c r="P149" i="2"/>
  <c r="Q149" i="2"/>
  <c r="K211" i="6"/>
  <c r="K166" i="2"/>
  <c r="M210" i="6" s="1"/>
  <c r="L210" i="6"/>
  <c r="L211" i="6"/>
  <c r="M211" i="6"/>
  <c r="M109" i="2"/>
  <c r="N109" i="2" s="1"/>
  <c r="M79" i="2"/>
  <c r="N79" i="2" s="1"/>
  <c r="H17" i="8"/>
  <c r="P79" i="2" l="1"/>
  <c r="Q79" i="2"/>
  <c r="P109" i="2"/>
  <c r="Q109" i="2"/>
  <c r="M14" i="2"/>
  <c r="I24" i="2" l="1"/>
  <c r="M61" i="2" l="1"/>
  <c r="N61" i="2" s="1"/>
  <c r="M45" i="2"/>
  <c r="N45" i="2" s="1"/>
  <c r="M139" i="2"/>
  <c r="N139" i="2" s="1"/>
  <c r="M105" i="2"/>
  <c r="N105" i="2" s="1"/>
  <c r="P139" i="2" l="1"/>
  <c r="Q139" i="2"/>
  <c r="M157" i="2"/>
  <c r="N157" i="2" s="1"/>
  <c r="I200" i="6"/>
  <c r="P45" i="2"/>
  <c r="Q45" i="2"/>
  <c r="P105" i="2"/>
  <c r="Q105" i="2"/>
  <c r="Q61" i="2"/>
  <c r="P61" i="2"/>
  <c r="J30" i="4"/>
  <c r="J25" i="4"/>
  <c r="J17" i="4"/>
  <c r="I30" i="4" l="1"/>
  <c r="I25" i="4"/>
  <c r="P157" i="2"/>
  <c r="Q157" i="2"/>
  <c r="M10" i="2" l="1"/>
  <c r="M99" i="2"/>
  <c r="N99" i="2" s="1"/>
  <c r="M91" i="2"/>
  <c r="N91" i="2" s="1"/>
  <c r="M143" i="2"/>
  <c r="N143" i="2" s="1"/>
  <c r="P91" i="2" l="1"/>
  <c r="Q91" i="2"/>
  <c r="P143" i="2"/>
  <c r="Q143" i="2"/>
  <c r="P99" i="2"/>
  <c r="Q99" i="2"/>
  <c r="N10" i="2"/>
  <c r="P10" i="2" l="1"/>
  <c r="Q10" i="2"/>
  <c r="M107" i="2"/>
  <c r="N107" i="2" s="1"/>
  <c r="Q107" i="2" l="1"/>
  <c r="P107" i="2"/>
  <c r="M115" i="2" l="1"/>
  <c r="N115" i="2" s="1"/>
  <c r="O148" i="6"/>
  <c r="P148" i="6" s="1"/>
  <c r="O147" i="6"/>
  <c r="P147" i="6" s="1"/>
  <c r="O146" i="6"/>
  <c r="P146" i="6" s="1"/>
  <c r="K146" i="6"/>
  <c r="K147" i="6"/>
  <c r="J148" i="6"/>
  <c r="K148" i="6"/>
  <c r="L148" i="6"/>
  <c r="M148" i="6"/>
  <c r="I146" i="6"/>
  <c r="I147" i="6"/>
  <c r="I148" i="6"/>
  <c r="H148" i="6"/>
  <c r="H147" i="6"/>
  <c r="H146" i="6"/>
  <c r="E147" i="6"/>
  <c r="E148" i="6"/>
  <c r="E146" i="6"/>
  <c r="E145" i="6"/>
  <c r="H115" i="2"/>
  <c r="H114" i="2" s="1"/>
  <c r="H116" i="2"/>
  <c r="K116" i="2" s="1"/>
  <c r="M147" i="6" s="1"/>
  <c r="Q115" i="2" l="1"/>
  <c r="P115" i="2"/>
  <c r="J147" i="6"/>
  <c r="J116" i="2"/>
  <c r="L147" i="6" s="1"/>
  <c r="K115" i="2"/>
  <c r="M146" i="6" s="1"/>
  <c r="J146" i="6"/>
  <c r="J115" i="2"/>
  <c r="L146" i="6" s="1"/>
  <c r="H157" i="5"/>
  <c r="G157" i="5"/>
  <c r="M111" i="2" l="1"/>
  <c r="N111" i="2" s="1"/>
  <c r="P111" i="2" l="1"/>
  <c r="Q111" i="2"/>
  <c r="K142" i="2"/>
  <c r="K136" i="2"/>
  <c r="L127" i="2" l="1"/>
  <c r="L167" i="2" s="1"/>
  <c r="H127" i="2"/>
  <c r="K204" i="6" l="1"/>
  <c r="K203" i="6"/>
  <c r="I204" i="6"/>
  <c r="H204" i="6"/>
  <c r="H203" i="6"/>
  <c r="E204" i="6"/>
  <c r="E203" i="6"/>
  <c r="O204" i="6"/>
  <c r="P204" i="6" s="1"/>
  <c r="O203" i="6"/>
  <c r="P203" i="6" s="1"/>
  <c r="M159" i="2"/>
  <c r="M141" i="2"/>
  <c r="N141" i="2" s="1"/>
  <c r="P141" i="2" l="1"/>
  <c r="Q141" i="2"/>
  <c r="N159" i="2"/>
  <c r="J205" i="6" s="1"/>
  <c r="I205" i="6"/>
  <c r="H159" i="2"/>
  <c r="K159" i="2" s="1"/>
  <c r="M203" i="6" s="1"/>
  <c r="I203" i="6"/>
  <c r="P159" i="2" l="1"/>
  <c r="L205" i="6" s="1"/>
  <c r="Q159" i="2"/>
  <c r="M205" i="6" s="1"/>
  <c r="J159" i="2"/>
  <c r="H160" i="2" s="1"/>
  <c r="J204" i="6" s="1"/>
  <c r="J203" i="6"/>
  <c r="H6" i="2"/>
  <c r="L203" i="6" l="1"/>
  <c r="K160" i="2"/>
  <c r="M204" i="6" s="1"/>
  <c r="J160" i="2"/>
  <c r="L204" i="6" s="1"/>
  <c r="G144" i="5"/>
  <c r="G6" i="5" l="1"/>
  <c r="M101" i="2"/>
  <c r="N101" i="2" s="1"/>
  <c r="P101" i="2" l="1"/>
  <c r="Q101" i="2"/>
  <c r="H61" i="2"/>
  <c r="K61" i="2" s="1"/>
  <c r="H22" i="2"/>
  <c r="K22" i="2" s="1"/>
  <c r="N231" i="6"/>
  <c r="N232" i="6"/>
  <c r="N233" i="6"/>
  <c r="N234" i="6"/>
  <c r="N235" i="6"/>
  <c r="N236" i="6"/>
  <c r="N237" i="6"/>
  <c r="N238" i="6"/>
  <c r="N230" i="6"/>
  <c r="N229" i="6"/>
  <c r="N228" i="6"/>
  <c r="N227" i="6"/>
  <c r="N226" i="6"/>
  <c r="N225" i="6"/>
  <c r="N220" i="6"/>
  <c r="N221" i="6"/>
  <c r="N222" i="6"/>
  <c r="N223" i="6"/>
  <c r="N224" i="6"/>
  <c r="N219" i="6"/>
  <c r="N216" i="6"/>
  <c r="N217" i="6"/>
  <c r="N218" i="6"/>
  <c r="N215" i="6"/>
  <c r="N214" i="6"/>
  <c r="N213" i="6"/>
  <c r="N212" i="6"/>
  <c r="J45" i="1"/>
  <c r="G41" i="1"/>
  <c r="I41" i="1" s="1"/>
  <c r="G45" i="1"/>
  <c r="I45" i="1" s="1"/>
  <c r="G47" i="1"/>
  <c r="J47" i="1" s="1"/>
  <c r="G39" i="1"/>
  <c r="I39" i="1" s="1"/>
  <c r="G37" i="1"/>
  <c r="I37" i="1" s="1"/>
  <c r="I16" i="3" s="1"/>
  <c r="G35" i="1"/>
  <c r="J35" i="1" s="1"/>
  <c r="G33" i="1"/>
  <c r="J33" i="1" s="1"/>
  <c r="G31" i="1"/>
  <c r="I31" i="1" s="1"/>
  <c r="G29" i="1"/>
  <c r="I29" i="1" s="1"/>
  <c r="G26" i="1"/>
  <c r="I26" i="1" s="1"/>
  <c r="G25" i="1"/>
  <c r="I25" i="1" s="1"/>
  <c r="G23" i="1"/>
  <c r="J23" i="1" s="1"/>
  <c r="G18" i="1"/>
  <c r="J18" i="1" s="1"/>
  <c r="G16" i="1"/>
  <c r="I16" i="1" s="1"/>
  <c r="G12" i="1"/>
  <c r="I12" i="1" s="1"/>
  <c r="I9" i="3" s="1"/>
  <c r="G10" i="1"/>
  <c r="J10" i="1" s="1"/>
  <c r="G8" i="1"/>
  <c r="J8" i="1" s="1"/>
  <c r="G6" i="1"/>
  <c r="J6" i="1" s="1"/>
  <c r="J29" i="3"/>
  <c r="H19" i="3"/>
  <c r="F19" i="3"/>
  <c r="F18" i="3"/>
  <c r="H18" i="3"/>
  <c r="E18" i="3"/>
  <c r="H17" i="3"/>
  <c r="E17" i="3"/>
  <c r="F16" i="3"/>
  <c r="H16" i="3"/>
  <c r="E16" i="3"/>
  <c r="F15" i="3"/>
  <c r="G15" i="3"/>
  <c r="H15" i="3"/>
  <c r="E15" i="3"/>
  <c r="F14" i="3"/>
  <c r="H14" i="3"/>
  <c r="E14" i="3"/>
  <c r="H13" i="3"/>
  <c r="F13" i="3"/>
  <c r="E13" i="3"/>
  <c r="H12" i="3"/>
  <c r="F12" i="3"/>
  <c r="E12" i="3"/>
  <c r="H11" i="3"/>
  <c r="E11" i="3"/>
  <c r="H10" i="3"/>
  <c r="E10" i="3"/>
  <c r="F9" i="3"/>
  <c r="H9" i="3"/>
  <c r="E9" i="3"/>
  <c r="F8" i="3"/>
  <c r="H8" i="3"/>
  <c r="F7" i="3"/>
  <c r="G7" i="3"/>
  <c r="H7" i="3"/>
  <c r="H6" i="3"/>
  <c r="F6" i="3"/>
  <c r="E6" i="3"/>
  <c r="J8" i="3" l="1"/>
  <c r="G8" i="3"/>
  <c r="G6" i="3"/>
  <c r="G16" i="3"/>
  <c r="J16" i="3" s="1"/>
  <c r="I23" i="1"/>
  <c r="J37" i="1"/>
  <c r="I10" i="1"/>
  <c r="I8" i="3" s="1"/>
  <c r="I33" i="1"/>
  <c r="I14" i="3" s="1"/>
  <c r="G14" i="3"/>
  <c r="J14" i="3" s="1"/>
  <c r="I35" i="1"/>
  <c r="I15" i="3" s="1"/>
  <c r="I47" i="1"/>
  <c r="J7" i="3"/>
  <c r="J16" i="1"/>
  <c r="J6" i="3"/>
  <c r="J15" i="3"/>
  <c r="G9" i="3"/>
  <c r="I6" i="1"/>
  <c r="I6" i="3" s="1"/>
  <c r="J39" i="1"/>
  <c r="I8" i="1"/>
  <c r="I7" i="3" s="1"/>
  <c r="J29" i="1"/>
  <c r="J31" i="1"/>
  <c r="J12" i="1"/>
  <c r="I18" i="1"/>
  <c r="J22" i="2"/>
  <c r="J9" i="3"/>
  <c r="J61" i="2"/>
  <c r="G13" i="3"/>
  <c r="J13" i="3" s="1"/>
  <c r="G12" i="3"/>
  <c r="I12" i="3" s="1"/>
  <c r="J17" i="1" l="1"/>
  <c r="G17" i="1"/>
  <c r="I17" i="1" s="1"/>
  <c r="J12" i="3"/>
  <c r="I13" i="3"/>
  <c r="O197" i="6" l="1"/>
  <c r="P197" i="6" s="1"/>
  <c r="I197" i="6"/>
  <c r="K197" i="6"/>
  <c r="H197" i="6"/>
  <c r="E197" i="6"/>
  <c r="E194" i="6"/>
  <c r="H155" i="2"/>
  <c r="J197" i="6" s="1"/>
  <c r="H57" i="2"/>
  <c r="M51" i="2"/>
  <c r="N51" i="2" s="1"/>
  <c r="M20" i="2"/>
  <c r="N20" i="2" s="1"/>
  <c r="P20" i="2" l="1"/>
  <c r="Q20" i="2"/>
  <c r="Q51" i="2"/>
  <c r="P51" i="2"/>
  <c r="M18" i="2"/>
  <c r="H20" i="2"/>
  <c r="J57" i="2"/>
  <c r="K57" i="2"/>
  <c r="J155" i="2"/>
  <c r="H156" i="2" s="1"/>
  <c r="K155" i="2"/>
  <c r="M197" i="6" s="1"/>
  <c r="N18" i="2" l="1"/>
  <c r="Q18" i="2" s="1"/>
  <c r="M24" i="2"/>
  <c r="K156" i="2"/>
  <c r="M198" i="6" s="1"/>
  <c r="J198" i="6"/>
  <c r="L199" i="6"/>
  <c r="J199" i="6"/>
  <c r="L197" i="6"/>
  <c r="J20" i="2"/>
  <c r="H21" i="2" s="1"/>
  <c r="K20" i="2"/>
  <c r="J156" i="2"/>
  <c r="L198" i="6" s="1"/>
  <c r="M199" i="6"/>
  <c r="P18" i="2" l="1"/>
  <c r="J21" i="2"/>
  <c r="K21" i="2"/>
  <c r="I140" i="6"/>
  <c r="K140" i="6"/>
  <c r="I141" i="6"/>
  <c r="K141" i="6"/>
  <c r="H141" i="6"/>
  <c r="H140" i="6"/>
  <c r="O140" i="6"/>
  <c r="P140" i="6" s="1"/>
  <c r="O141" i="6"/>
  <c r="P141" i="6" s="1"/>
  <c r="O142" i="6"/>
  <c r="P142" i="6" s="1"/>
  <c r="E142" i="6"/>
  <c r="E141" i="6"/>
  <c r="E140" i="6"/>
  <c r="H111" i="2"/>
  <c r="J111" i="2" s="1"/>
  <c r="I142" i="6"/>
  <c r="H142" i="6"/>
  <c r="K142" i="6" l="1"/>
  <c r="L140" i="6"/>
  <c r="H112" i="2"/>
  <c r="J141" i="6" s="1"/>
  <c r="J140" i="6"/>
  <c r="J142" i="6"/>
  <c r="K111" i="2"/>
  <c r="M140" i="6" s="1"/>
  <c r="M142" i="6" l="1"/>
  <c r="K112" i="2"/>
  <c r="M141" i="6" s="1"/>
  <c r="J112" i="2"/>
  <c r="L141" i="6" s="1"/>
  <c r="L142" i="6"/>
  <c r="H144" i="5"/>
  <c r="M95" i="2" l="1"/>
  <c r="N95" i="2" s="1"/>
  <c r="P95" i="2" l="1"/>
  <c r="Q95" i="2"/>
  <c r="G42" i="1"/>
  <c r="I42" i="1" s="1"/>
  <c r="G46" i="1" l="1"/>
  <c r="J46" i="1" l="1"/>
  <c r="I46" i="1"/>
  <c r="M77" i="2" l="1"/>
  <c r="H121" i="2"/>
  <c r="J121" i="2" s="1"/>
  <c r="H122" i="2" s="1"/>
  <c r="G40" i="1"/>
  <c r="I40" i="1" s="1"/>
  <c r="G43" i="1"/>
  <c r="I43" i="1" s="1"/>
  <c r="N77" i="2" l="1"/>
  <c r="M121" i="2"/>
  <c r="N121" i="2" s="1"/>
  <c r="G22" i="1"/>
  <c r="I22" i="1" s="1"/>
  <c r="J22" i="1"/>
  <c r="B3" i="1"/>
  <c r="Q77" i="2" l="1"/>
  <c r="P77" i="2"/>
  <c r="G44" i="1" l="1"/>
  <c r="I44" i="1" s="1"/>
  <c r="J44" i="1"/>
  <c r="F17" i="3"/>
  <c r="G17" i="3" s="1"/>
  <c r="G21" i="1"/>
  <c r="I21" i="1" s="1"/>
  <c r="G64" i="2"/>
  <c r="J17" i="3" l="1"/>
  <c r="I17" i="3"/>
  <c r="M25" i="6"/>
  <c r="O23" i="6"/>
  <c r="P23" i="6" s="1"/>
  <c r="O24" i="6"/>
  <c r="P24" i="6" s="1"/>
  <c r="O25" i="6"/>
  <c r="P25" i="6" s="1"/>
  <c r="J23" i="6"/>
  <c r="K23" i="6"/>
  <c r="L23" i="6"/>
  <c r="M23" i="6"/>
  <c r="J24" i="6"/>
  <c r="K24" i="6"/>
  <c r="L24" i="6"/>
  <c r="M24" i="6"/>
  <c r="K25" i="6"/>
  <c r="L25" i="6"/>
  <c r="I25" i="6"/>
  <c r="I24" i="6"/>
  <c r="I23" i="6"/>
  <c r="H25" i="6"/>
  <c r="H24" i="6"/>
  <c r="H23" i="6"/>
  <c r="H26" i="6"/>
  <c r="E24" i="6"/>
  <c r="E25" i="6"/>
  <c r="E23" i="6"/>
  <c r="F14" i="2"/>
  <c r="L14" i="2" s="1"/>
  <c r="N14" i="2" s="1"/>
  <c r="F18" i="8"/>
  <c r="J18" i="8" s="1"/>
  <c r="Q14" i="2" l="1"/>
  <c r="P14" i="2"/>
  <c r="J25" i="6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3" i="6"/>
  <c r="P143" i="6" s="1"/>
  <c r="O144" i="6"/>
  <c r="O145" i="6"/>
  <c r="K134" i="6"/>
  <c r="I135" i="6"/>
  <c r="K135" i="6"/>
  <c r="K137" i="6"/>
  <c r="I138" i="6"/>
  <c r="K138" i="6"/>
  <c r="H138" i="6"/>
  <c r="H137" i="6"/>
  <c r="H135" i="6"/>
  <c r="H134" i="6"/>
  <c r="E138" i="6"/>
  <c r="E139" i="6"/>
  <c r="E137" i="6"/>
  <c r="E136" i="6"/>
  <c r="E135" i="6"/>
  <c r="E134" i="6"/>
  <c r="H139" i="6"/>
  <c r="K139" i="6" l="1"/>
  <c r="I137" i="6"/>
  <c r="H109" i="2"/>
  <c r="I67" i="6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K65" i="6"/>
  <c r="I66" i="6"/>
  <c r="K66" i="6"/>
  <c r="K68" i="6"/>
  <c r="I69" i="6"/>
  <c r="K69" i="6"/>
  <c r="H69" i="6"/>
  <c r="H68" i="6"/>
  <c r="H66" i="6"/>
  <c r="H65" i="6"/>
  <c r="E70" i="6"/>
  <c r="E69" i="6"/>
  <c r="E68" i="6"/>
  <c r="E67" i="6"/>
  <c r="E66" i="6"/>
  <c r="E65" i="6"/>
  <c r="M49" i="2"/>
  <c r="N49" i="2" s="1"/>
  <c r="P49" i="2" l="1"/>
  <c r="Q49" i="2"/>
  <c r="K50" i="2"/>
  <c r="K49" i="2"/>
  <c r="H49" i="2"/>
  <c r="J49" i="2" s="1"/>
  <c r="I65" i="6"/>
  <c r="H55" i="2"/>
  <c r="I139" i="6"/>
  <c r="K109" i="2"/>
  <c r="M137" i="6" s="1"/>
  <c r="J109" i="2"/>
  <c r="J137" i="6"/>
  <c r="M67" i="6"/>
  <c r="L67" i="6"/>
  <c r="K67" i="6"/>
  <c r="J67" i="6"/>
  <c r="H67" i="6"/>
  <c r="K55" i="2" l="1"/>
  <c r="M65" i="6" s="1"/>
  <c r="J55" i="2"/>
  <c r="J65" i="6"/>
  <c r="L139" i="6"/>
  <c r="J139" i="6"/>
  <c r="M139" i="6"/>
  <c r="H110" i="2"/>
  <c r="L137" i="6"/>
  <c r="H56" i="2" l="1"/>
  <c r="L65" i="6"/>
  <c r="K136" i="6"/>
  <c r="K110" i="2"/>
  <c r="M138" i="6" s="1"/>
  <c r="J110" i="2"/>
  <c r="L138" i="6" s="1"/>
  <c r="J138" i="6"/>
  <c r="H136" i="6"/>
  <c r="H107" i="2"/>
  <c r="J134" i="6" s="1"/>
  <c r="I134" i="6"/>
  <c r="E12" i="7"/>
  <c r="F10" i="3" l="1"/>
  <c r="G10" i="3" s="1"/>
  <c r="G15" i="1"/>
  <c r="J56" i="2"/>
  <c r="L66" i="6" s="1"/>
  <c r="K56" i="2"/>
  <c r="M66" i="6" s="1"/>
  <c r="J66" i="6"/>
  <c r="I136" i="6"/>
  <c r="K107" i="2"/>
  <c r="M134" i="6" s="1"/>
  <c r="J107" i="2"/>
  <c r="H108" i="2" s="1"/>
  <c r="J135" i="6" s="1"/>
  <c r="J68" i="6"/>
  <c r="I68" i="6"/>
  <c r="K70" i="6"/>
  <c r="L70" i="6"/>
  <c r="H70" i="6"/>
  <c r="I70" i="6"/>
  <c r="M70" i="6"/>
  <c r="J70" i="6"/>
  <c r="J10" i="3" l="1"/>
  <c r="I10" i="3"/>
  <c r="G24" i="1"/>
  <c r="I24" i="1" s="1"/>
  <c r="F11" i="3"/>
  <c r="G11" i="3" s="1"/>
  <c r="I15" i="1"/>
  <c r="J15" i="1"/>
  <c r="M136" i="6"/>
  <c r="L136" i="6"/>
  <c r="J136" i="6"/>
  <c r="L134" i="6"/>
  <c r="J108" i="2"/>
  <c r="L135" i="6" s="1"/>
  <c r="K108" i="2"/>
  <c r="M135" i="6" s="1"/>
  <c r="M68" i="6"/>
  <c r="E14" i="7"/>
  <c r="E13" i="7"/>
  <c r="G34" i="7"/>
  <c r="J34" i="7" s="1"/>
  <c r="G35" i="7"/>
  <c r="J35" i="7" s="1"/>
  <c r="G36" i="7"/>
  <c r="G37" i="7"/>
  <c r="J37" i="7" s="1"/>
  <c r="G38" i="7"/>
  <c r="J38" i="7" s="1"/>
  <c r="G39" i="7"/>
  <c r="I39" i="7" s="1"/>
  <c r="G40" i="7"/>
  <c r="J40" i="7" s="1"/>
  <c r="G41" i="7"/>
  <c r="J41" i="7" s="1"/>
  <c r="G42" i="7"/>
  <c r="G43" i="7"/>
  <c r="I43" i="7" s="1"/>
  <c r="G44" i="7"/>
  <c r="J44" i="7" s="1"/>
  <c r="G45" i="7"/>
  <c r="J45" i="7" s="1"/>
  <c r="G46" i="7"/>
  <c r="J46" i="7" s="1"/>
  <c r="G47" i="7"/>
  <c r="G33" i="7"/>
  <c r="J33" i="7" s="1"/>
  <c r="G27" i="7"/>
  <c r="I27" i="7" s="1"/>
  <c r="G28" i="7"/>
  <c r="J28" i="7" s="1"/>
  <c r="G29" i="7"/>
  <c r="J29" i="7" s="1"/>
  <c r="G30" i="7"/>
  <c r="J30" i="7" s="1"/>
  <c r="G31" i="7"/>
  <c r="J31" i="7" s="1"/>
  <c r="G32" i="7"/>
  <c r="I32" i="7" s="1"/>
  <c r="G26" i="7"/>
  <c r="J26" i="7" s="1"/>
  <c r="G25" i="7"/>
  <c r="J25" i="7" s="1"/>
  <c r="G22" i="7"/>
  <c r="J22" i="7" s="1"/>
  <c r="G23" i="7"/>
  <c r="I23" i="7" s="1"/>
  <c r="G24" i="7"/>
  <c r="J24" i="7" s="1"/>
  <c r="G21" i="7"/>
  <c r="G20" i="7"/>
  <c r="I20" i="7" s="1"/>
  <c r="G19" i="7"/>
  <c r="J19" i="7" s="1"/>
  <c r="G18" i="7"/>
  <c r="H49" i="7"/>
  <c r="E49" i="7"/>
  <c r="J42" i="7"/>
  <c r="J11" i="3" l="1"/>
  <c r="I11" i="3"/>
  <c r="L68" i="6"/>
  <c r="H58" i="2"/>
  <c r="K58" i="2" s="1"/>
  <c r="I40" i="7"/>
  <c r="J27" i="7"/>
  <c r="I41" i="7"/>
  <c r="I28" i="7"/>
  <c r="D13" i="7"/>
  <c r="D14" i="7"/>
  <c r="F14" i="7" s="1"/>
  <c r="I24" i="7"/>
  <c r="I35" i="7"/>
  <c r="I44" i="7"/>
  <c r="I36" i="7"/>
  <c r="D11" i="7"/>
  <c r="F11" i="7" s="1"/>
  <c r="J36" i="7"/>
  <c r="D12" i="7"/>
  <c r="G12" i="7" s="1"/>
  <c r="J43" i="7"/>
  <c r="I33" i="7"/>
  <c r="J32" i="7"/>
  <c r="I25" i="7"/>
  <c r="J21" i="7"/>
  <c r="G49" i="7"/>
  <c r="I49" i="7" s="1"/>
  <c r="E15" i="7"/>
  <c r="E7" i="7" s="1"/>
  <c r="J20" i="7"/>
  <c r="I31" i="7"/>
  <c r="I26" i="7"/>
  <c r="I34" i="7"/>
  <c r="J39" i="7"/>
  <c r="I42" i="7"/>
  <c r="J47" i="7"/>
  <c r="I47" i="7"/>
  <c r="J23" i="7"/>
  <c r="I18" i="7"/>
  <c r="I21" i="7"/>
  <c r="I29" i="7"/>
  <c r="I37" i="7"/>
  <c r="I45" i="7"/>
  <c r="J18" i="7"/>
  <c r="I19" i="7"/>
  <c r="I22" i="7"/>
  <c r="I30" i="7"/>
  <c r="I38" i="7"/>
  <c r="I46" i="7"/>
  <c r="M69" i="6" l="1"/>
  <c r="J58" i="2"/>
  <c r="L69" i="6" s="1"/>
  <c r="J69" i="6"/>
  <c r="G14" i="7"/>
  <c r="G7" i="7"/>
  <c r="F7" i="7"/>
  <c r="G11" i="7"/>
  <c r="F13" i="7"/>
  <c r="J49" i="7"/>
  <c r="F12" i="7"/>
  <c r="D15" i="7" l="1"/>
  <c r="F15" i="7" s="1"/>
  <c r="G13" i="7"/>
  <c r="G15" i="7" l="1"/>
  <c r="M37" i="2" l="1"/>
  <c r="N37" i="2" s="1"/>
  <c r="Q37" i="2" l="1"/>
  <c r="P37" i="2"/>
  <c r="K150" i="2"/>
  <c r="K149" i="2"/>
  <c r="H167" i="2" l="1"/>
  <c r="M135" i="2"/>
  <c r="H24" i="3"/>
  <c r="H7" i="5"/>
  <c r="H8" i="5"/>
  <c r="H9" i="5"/>
  <c r="H10" i="5"/>
  <c r="H11" i="5"/>
  <c r="H12" i="5"/>
  <c r="H13" i="5"/>
  <c r="H14" i="5"/>
  <c r="H15" i="5"/>
  <c r="H6" i="5"/>
  <c r="G7" i="5"/>
  <c r="G8" i="5"/>
  <c r="G9" i="5"/>
  <c r="G10" i="5"/>
  <c r="G11" i="5"/>
  <c r="G12" i="5"/>
  <c r="G13" i="5"/>
  <c r="G14" i="5"/>
  <c r="G15" i="5"/>
  <c r="N135" i="2" l="1"/>
  <c r="M167" i="2"/>
  <c r="N167" i="2" s="1"/>
  <c r="J167" i="2"/>
  <c r="H168" i="2" s="1"/>
  <c r="K167" i="2"/>
  <c r="I24" i="3"/>
  <c r="E19" i="3"/>
  <c r="G19" i="3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0" i="6"/>
  <c r="P170" i="6" s="1"/>
  <c r="O171" i="6"/>
  <c r="P171" i="6" s="1"/>
  <c r="O172" i="6"/>
  <c r="P172" i="6" s="1"/>
  <c r="O173" i="6"/>
  <c r="P173" i="6" s="1"/>
  <c r="O174" i="6"/>
  <c r="P174" i="6" s="1"/>
  <c r="O175" i="6"/>
  <c r="P175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88" i="6"/>
  <c r="P188" i="6" s="1"/>
  <c r="O189" i="6"/>
  <c r="P189" i="6" s="1"/>
  <c r="O190" i="6"/>
  <c r="P190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201" i="6"/>
  <c r="P201" i="6" s="1"/>
  <c r="O202" i="6"/>
  <c r="P202" i="6" s="1"/>
  <c r="K201" i="6"/>
  <c r="I201" i="6"/>
  <c r="K194" i="6"/>
  <c r="K195" i="6"/>
  <c r="I195" i="6"/>
  <c r="I194" i="6"/>
  <c r="K191" i="6"/>
  <c r="K192" i="6"/>
  <c r="I192" i="6"/>
  <c r="I191" i="6"/>
  <c r="K188" i="6"/>
  <c r="K189" i="6"/>
  <c r="I189" i="6"/>
  <c r="I188" i="6"/>
  <c r="K185" i="6"/>
  <c r="K186" i="6"/>
  <c r="I186" i="6"/>
  <c r="I185" i="6"/>
  <c r="K182" i="6"/>
  <c r="K183" i="6"/>
  <c r="I183" i="6"/>
  <c r="I182" i="6"/>
  <c r="K179" i="6"/>
  <c r="K180" i="6"/>
  <c r="I180" i="6"/>
  <c r="I179" i="6"/>
  <c r="K176" i="6"/>
  <c r="K177" i="6"/>
  <c r="I177" i="6"/>
  <c r="I176" i="6"/>
  <c r="K174" i="6"/>
  <c r="K173" i="6"/>
  <c r="I174" i="6"/>
  <c r="I173" i="6"/>
  <c r="K170" i="6"/>
  <c r="K171" i="6"/>
  <c r="I171" i="6"/>
  <c r="I170" i="6"/>
  <c r="K167" i="6"/>
  <c r="K168" i="6"/>
  <c r="I168" i="6"/>
  <c r="I167" i="6"/>
  <c r="K164" i="6"/>
  <c r="K165" i="6"/>
  <c r="I165" i="6"/>
  <c r="I164" i="6"/>
  <c r="K161" i="6"/>
  <c r="K162" i="6"/>
  <c r="I162" i="6"/>
  <c r="I161" i="6"/>
  <c r="K158" i="6"/>
  <c r="K159" i="6"/>
  <c r="I159" i="6"/>
  <c r="I158" i="6"/>
  <c r="K155" i="6"/>
  <c r="K156" i="6"/>
  <c r="I156" i="6"/>
  <c r="I155" i="6"/>
  <c r="H201" i="6"/>
  <c r="H195" i="6"/>
  <c r="H194" i="6"/>
  <c r="H192" i="6"/>
  <c r="H191" i="6"/>
  <c r="H189" i="6"/>
  <c r="H188" i="6"/>
  <c r="H186" i="6"/>
  <c r="H185" i="6"/>
  <c r="H183" i="6"/>
  <c r="H182" i="6"/>
  <c r="H180" i="6"/>
  <c r="H179" i="6"/>
  <c r="H177" i="6"/>
  <c r="H176" i="6"/>
  <c r="H174" i="6"/>
  <c r="H173" i="6"/>
  <c r="H171" i="6"/>
  <c r="H170" i="6"/>
  <c r="H168" i="6"/>
  <c r="H167" i="6"/>
  <c r="H165" i="6"/>
  <c r="H164" i="6"/>
  <c r="H162" i="6"/>
  <c r="H161" i="6"/>
  <c r="H159" i="6"/>
  <c r="H158" i="6"/>
  <c r="H156" i="6"/>
  <c r="H155" i="6"/>
  <c r="E201" i="6"/>
  <c r="E202" i="6"/>
  <c r="E195" i="6"/>
  <c r="E196" i="6"/>
  <c r="E192" i="6"/>
  <c r="E193" i="6"/>
  <c r="E189" i="6"/>
  <c r="E190" i="6"/>
  <c r="E186" i="6"/>
  <c r="E187" i="6"/>
  <c r="E183" i="6"/>
  <c r="E184" i="6"/>
  <c r="E180" i="6"/>
  <c r="E181" i="6"/>
  <c r="E177" i="6"/>
  <c r="E178" i="6"/>
  <c r="E174" i="6"/>
  <c r="E175" i="6"/>
  <c r="E171" i="6"/>
  <c r="E172" i="6"/>
  <c r="E168" i="6"/>
  <c r="E169" i="6"/>
  <c r="E165" i="6"/>
  <c r="E166" i="6"/>
  <c r="E162" i="6"/>
  <c r="E163" i="6"/>
  <c r="E159" i="6"/>
  <c r="E160" i="6"/>
  <c r="E156" i="6"/>
  <c r="E157" i="6"/>
  <c r="K168" i="2" l="1"/>
  <c r="J168" i="2"/>
  <c r="P135" i="2"/>
  <c r="Q135" i="2"/>
  <c r="I19" i="3"/>
  <c r="J19" i="3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O101" i="6"/>
  <c r="P101" i="6" s="1"/>
  <c r="O102" i="6"/>
  <c r="P102" i="6" s="1"/>
  <c r="O103" i="6"/>
  <c r="P103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3" i="6"/>
  <c r="P113" i="6" s="1"/>
  <c r="O114" i="6"/>
  <c r="P114" i="6" s="1"/>
  <c r="O115" i="6"/>
  <c r="P115" i="6" s="1"/>
  <c r="O116" i="6"/>
  <c r="P116" i="6" s="1"/>
  <c r="O117" i="6"/>
  <c r="P117" i="6" s="1"/>
  <c r="O118" i="6"/>
  <c r="P118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O131" i="6"/>
  <c r="P131" i="6" s="1"/>
  <c r="O132" i="6"/>
  <c r="P132" i="6" s="1"/>
  <c r="O133" i="6"/>
  <c r="P133" i="6" s="1"/>
  <c r="P144" i="6"/>
  <c r="P145" i="6"/>
  <c r="K143" i="6"/>
  <c r="K144" i="6"/>
  <c r="I144" i="6"/>
  <c r="I143" i="6"/>
  <c r="K131" i="6"/>
  <c r="K132" i="6"/>
  <c r="I132" i="6"/>
  <c r="I131" i="6"/>
  <c r="K128" i="6"/>
  <c r="K129" i="6"/>
  <c r="I129" i="6"/>
  <c r="I128" i="6"/>
  <c r="K125" i="6"/>
  <c r="K126" i="6"/>
  <c r="I126" i="6"/>
  <c r="I125" i="6"/>
  <c r="K122" i="6"/>
  <c r="K123" i="6"/>
  <c r="I123" i="6"/>
  <c r="I122" i="6"/>
  <c r="K120" i="6"/>
  <c r="K119" i="6"/>
  <c r="I120" i="6"/>
  <c r="I119" i="6"/>
  <c r="K116" i="6"/>
  <c r="K117" i="6"/>
  <c r="I117" i="6"/>
  <c r="I116" i="6"/>
  <c r="K113" i="6"/>
  <c r="K114" i="6"/>
  <c r="I114" i="6"/>
  <c r="I113" i="6"/>
  <c r="K110" i="6"/>
  <c r="K111" i="6"/>
  <c r="I110" i="6"/>
  <c r="I111" i="6"/>
  <c r="K107" i="6"/>
  <c r="K108" i="6"/>
  <c r="I108" i="6"/>
  <c r="I107" i="6"/>
  <c r="K104" i="6"/>
  <c r="K105" i="6"/>
  <c r="I105" i="6"/>
  <c r="I104" i="6"/>
  <c r="K101" i="6"/>
  <c r="K102" i="6"/>
  <c r="I102" i="6"/>
  <c r="I101" i="6"/>
  <c r="K98" i="6"/>
  <c r="K99" i="6"/>
  <c r="I99" i="6"/>
  <c r="I98" i="6"/>
  <c r="K95" i="6"/>
  <c r="K96" i="6"/>
  <c r="I96" i="6"/>
  <c r="I95" i="6"/>
  <c r="K92" i="6"/>
  <c r="K93" i="6"/>
  <c r="I93" i="6"/>
  <c r="I92" i="6"/>
  <c r="K89" i="6"/>
  <c r="K90" i="6"/>
  <c r="I90" i="6"/>
  <c r="I89" i="6"/>
  <c r="K86" i="6"/>
  <c r="K87" i="6"/>
  <c r="I87" i="6"/>
  <c r="I86" i="6"/>
  <c r="K83" i="6"/>
  <c r="K84" i="6"/>
  <c r="I84" i="6"/>
  <c r="I83" i="6"/>
  <c r="K80" i="6"/>
  <c r="K81" i="6"/>
  <c r="I81" i="6"/>
  <c r="I80" i="6"/>
  <c r="K77" i="6"/>
  <c r="K78" i="6"/>
  <c r="I78" i="6"/>
  <c r="I77" i="6"/>
  <c r="I75" i="6"/>
  <c r="H144" i="6"/>
  <c r="H143" i="6"/>
  <c r="H132" i="6"/>
  <c r="H131" i="6"/>
  <c r="H129" i="6"/>
  <c r="H128" i="6"/>
  <c r="H126" i="6"/>
  <c r="H125" i="6"/>
  <c r="H123" i="6"/>
  <c r="H122" i="6"/>
  <c r="H120" i="6"/>
  <c r="H119" i="6"/>
  <c r="H117" i="6"/>
  <c r="H116" i="6"/>
  <c r="H114" i="6"/>
  <c r="H113" i="6"/>
  <c r="H111" i="6"/>
  <c r="H110" i="6"/>
  <c r="H108" i="6"/>
  <c r="H107" i="6"/>
  <c r="H105" i="6"/>
  <c r="H104" i="6"/>
  <c r="H102" i="6"/>
  <c r="H101" i="6"/>
  <c r="H99" i="6"/>
  <c r="H98" i="6"/>
  <c r="H96" i="6"/>
  <c r="H95" i="6"/>
  <c r="H93" i="6"/>
  <c r="H92" i="6"/>
  <c r="H90" i="6"/>
  <c r="H89" i="6"/>
  <c r="H87" i="6"/>
  <c r="H86" i="6"/>
  <c r="H84" i="6"/>
  <c r="H83" i="6"/>
  <c r="H81" i="6"/>
  <c r="H80" i="6"/>
  <c r="H78" i="6"/>
  <c r="H77" i="6"/>
  <c r="E143" i="6"/>
  <c r="E144" i="6"/>
  <c r="E132" i="6"/>
  <c r="E133" i="6"/>
  <c r="E129" i="6"/>
  <c r="E130" i="6"/>
  <c r="E126" i="6"/>
  <c r="E127" i="6"/>
  <c r="E131" i="6"/>
  <c r="E128" i="6"/>
  <c r="E125" i="6"/>
  <c r="E123" i="6"/>
  <c r="E124" i="6"/>
  <c r="E122" i="6"/>
  <c r="E120" i="6"/>
  <c r="E121" i="6"/>
  <c r="E117" i="6"/>
  <c r="E118" i="6"/>
  <c r="E114" i="6"/>
  <c r="E115" i="6"/>
  <c r="E111" i="6"/>
  <c r="E112" i="6"/>
  <c r="E108" i="6"/>
  <c r="E109" i="6"/>
  <c r="E105" i="6"/>
  <c r="E106" i="6"/>
  <c r="E104" i="6"/>
  <c r="E102" i="6"/>
  <c r="E103" i="6"/>
  <c r="E99" i="6"/>
  <c r="E100" i="6"/>
  <c r="E96" i="6"/>
  <c r="E97" i="6"/>
  <c r="E93" i="6"/>
  <c r="E94" i="6"/>
  <c r="E90" i="6"/>
  <c r="E91" i="6"/>
  <c r="E87" i="6"/>
  <c r="E88" i="6"/>
  <c r="E84" i="6"/>
  <c r="E85" i="6"/>
  <c r="E81" i="6"/>
  <c r="E82" i="6"/>
  <c r="E78" i="6"/>
  <c r="E79" i="6"/>
  <c r="O30" i="6" l="1"/>
  <c r="P30" i="6" s="1"/>
  <c r="O31" i="6"/>
  <c r="P31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74" i="6"/>
  <c r="P74" i="6" s="1"/>
  <c r="O75" i="6"/>
  <c r="P75" i="6" s="1"/>
  <c r="O76" i="6"/>
  <c r="P76" i="6" s="1"/>
  <c r="K74" i="6"/>
  <c r="K75" i="6"/>
  <c r="I74" i="6"/>
  <c r="K62" i="6"/>
  <c r="K63" i="6"/>
  <c r="I63" i="6"/>
  <c r="I62" i="6"/>
  <c r="K59" i="6"/>
  <c r="K60" i="6"/>
  <c r="I60" i="6"/>
  <c r="I59" i="6"/>
  <c r="K56" i="6"/>
  <c r="K57" i="6"/>
  <c r="I57" i="6"/>
  <c r="I56" i="6"/>
  <c r="K53" i="6"/>
  <c r="K54" i="6"/>
  <c r="I54" i="6"/>
  <c r="I53" i="6"/>
  <c r="K50" i="6"/>
  <c r="K51" i="6"/>
  <c r="I51" i="6"/>
  <c r="I50" i="6"/>
  <c r="K47" i="6"/>
  <c r="K48" i="6"/>
  <c r="I48" i="6"/>
  <c r="I47" i="6"/>
  <c r="K44" i="6"/>
  <c r="K45" i="6"/>
  <c r="I45" i="6"/>
  <c r="I44" i="6"/>
  <c r="K41" i="6"/>
  <c r="K42" i="6"/>
  <c r="I42" i="6"/>
  <c r="I41" i="6"/>
  <c r="K38" i="6"/>
  <c r="K39" i="6"/>
  <c r="I39" i="6"/>
  <c r="I38" i="6"/>
  <c r="K35" i="6"/>
  <c r="K36" i="6"/>
  <c r="I36" i="6"/>
  <c r="I35" i="6"/>
  <c r="K32" i="6"/>
  <c r="K33" i="6"/>
  <c r="I33" i="6"/>
  <c r="I32" i="6"/>
  <c r="H39" i="2"/>
  <c r="J41" i="6" s="1"/>
  <c r="H37" i="2"/>
  <c r="K29" i="6"/>
  <c r="K30" i="6"/>
  <c r="I30" i="6"/>
  <c r="I29" i="6"/>
  <c r="H75" i="6"/>
  <c r="H74" i="6"/>
  <c r="H63" i="6"/>
  <c r="H62" i="6"/>
  <c r="H60" i="6"/>
  <c r="H59" i="6"/>
  <c r="H57" i="6"/>
  <c r="H56" i="6"/>
  <c r="H54" i="6"/>
  <c r="H53" i="6"/>
  <c r="H51" i="6"/>
  <c r="H50" i="6"/>
  <c r="H48" i="6"/>
  <c r="H47" i="6"/>
  <c r="H45" i="6"/>
  <c r="H44" i="6"/>
  <c r="H42" i="6"/>
  <c r="H41" i="6"/>
  <c r="H39" i="6"/>
  <c r="H38" i="6"/>
  <c r="H36" i="6"/>
  <c r="H35" i="6"/>
  <c r="H32" i="6"/>
  <c r="H33" i="6"/>
  <c r="H30" i="6"/>
  <c r="H29" i="6"/>
  <c r="E60" i="6"/>
  <c r="E61" i="6"/>
  <c r="E57" i="6"/>
  <c r="E58" i="6"/>
  <c r="E54" i="6"/>
  <c r="E55" i="6"/>
  <c r="E51" i="6"/>
  <c r="E52" i="6"/>
  <c r="E49" i="6"/>
  <c r="E48" i="6"/>
  <c r="E74" i="6"/>
  <c r="E75" i="6"/>
  <c r="E63" i="6"/>
  <c r="E64" i="6"/>
  <c r="E76" i="6"/>
  <c r="E62" i="6"/>
  <c r="E45" i="6"/>
  <c r="E46" i="6"/>
  <c r="E42" i="6"/>
  <c r="E43" i="6"/>
  <c r="E39" i="6"/>
  <c r="E40" i="6"/>
  <c r="J38" i="6" l="1"/>
  <c r="K37" i="2"/>
  <c r="E36" i="6"/>
  <c r="E37" i="6"/>
  <c r="E33" i="6"/>
  <c r="E34" i="6"/>
  <c r="E30" i="6"/>
  <c r="E31" i="6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0" i="6"/>
  <c r="P20" i="6" s="1"/>
  <c r="O21" i="6"/>
  <c r="P21" i="6" s="1"/>
  <c r="O22" i="6"/>
  <c r="P22" i="6" s="1"/>
  <c r="O26" i="6"/>
  <c r="P26" i="6" s="1"/>
  <c r="O27" i="6"/>
  <c r="P27" i="6" s="1"/>
  <c r="O28" i="6"/>
  <c r="P28" i="6" s="1"/>
  <c r="K26" i="6"/>
  <c r="K27" i="6"/>
  <c r="I27" i="6"/>
  <c r="I26" i="6"/>
  <c r="K20" i="6"/>
  <c r="K21" i="6"/>
  <c r="I21" i="6"/>
  <c r="I20" i="6"/>
  <c r="K17" i="6"/>
  <c r="K18" i="6"/>
  <c r="I18" i="6"/>
  <c r="I17" i="6"/>
  <c r="K14" i="6"/>
  <c r="K15" i="6"/>
  <c r="I15" i="6"/>
  <c r="I14" i="6"/>
  <c r="K12" i="6"/>
  <c r="K11" i="6"/>
  <c r="I12" i="6"/>
  <c r="I11" i="6"/>
  <c r="K9" i="6"/>
  <c r="K8" i="6"/>
  <c r="I9" i="6"/>
  <c r="I8" i="6"/>
  <c r="I5" i="6"/>
  <c r="K5" i="6"/>
  <c r="K6" i="6"/>
  <c r="I6" i="6"/>
  <c r="I2" i="6"/>
  <c r="K2" i="6"/>
  <c r="O2" i="6"/>
  <c r="P2" i="6" s="1"/>
  <c r="I3" i="6"/>
  <c r="K3" i="6"/>
  <c r="O3" i="6"/>
  <c r="P3" i="6" s="1"/>
  <c r="H2" i="6"/>
  <c r="H27" i="6"/>
  <c r="H21" i="6"/>
  <c r="H20" i="6"/>
  <c r="H18" i="6"/>
  <c r="H17" i="6"/>
  <c r="H15" i="6"/>
  <c r="H14" i="6"/>
  <c r="H12" i="6"/>
  <c r="H11" i="6"/>
  <c r="H9" i="6"/>
  <c r="H8" i="6"/>
  <c r="H5" i="6"/>
  <c r="H6" i="6"/>
  <c r="E26" i="6"/>
  <c r="E27" i="6"/>
  <c r="E28" i="6"/>
  <c r="E21" i="6"/>
  <c r="E22" i="6"/>
  <c r="E20" i="6"/>
  <c r="E18" i="6"/>
  <c r="E19" i="6"/>
  <c r="E17" i="6"/>
  <c r="E15" i="6"/>
  <c r="E16" i="6"/>
  <c r="E14" i="6"/>
  <c r="E12" i="6"/>
  <c r="E13" i="6"/>
  <c r="E11" i="6"/>
  <c r="E9" i="6"/>
  <c r="E10" i="6"/>
  <c r="E8" i="6"/>
  <c r="E6" i="6"/>
  <c r="E7" i="6"/>
  <c r="I122" i="2" l="1"/>
  <c r="F63" i="2" l="1"/>
  <c r="F64" i="2"/>
  <c r="H33" i="2"/>
  <c r="J32" i="6" s="1"/>
  <c r="F25" i="2"/>
  <c r="F24" i="2"/>
  <c r="F26" i="2" s="1"/>
  <c r="H236" i="6"/>
  <c r="I236" i="6"/>
  <c r="K236" i="6"/>
  <c r="O236" i="6"/>
  <c r="P236" i="6" s="1"/>
  <c r="H237" i="6"/>
  <c r="I237" i="6"/>
  <c r="K237" i="6"/>
  <c r="O237" i="6"/>
  <c r="P237" i="6" s="1"/>
  <c r="H238" i="6"/>
  <c r="I238" i="6"/>
  <c r="K238" i="6"/>
  <c r="O238" i="6"/>
  <c r="P238" i="6" s="1"/>
  <c r="E236" i="6"/>
  <c r="O217" i="6"/>
  <c r="P217" i="6" s="1"/>
  <c r="K217" i="6"/>
  <c r="I217" i="6"/>
  <c r="H217" i="6"/>
  <c r="E217" i="6"/>
  <c r="E215" i="6"/>
  <c r="E221" i="6"/>
  <c r="M236" i="6"/>
  <c r="L236" i="6"/>
  <c r="L217" i="6"/>
  <c r="H24" i="2" l="1"/>
  <c r="M217" i="6"/>
  <c r="J236" i="6"/>
  <c r="J217" i="6"/>
  <c r="F65" i="2"/>
  <c r="H3" i="6" l="1"/>
  <c r="E3" i="6"/>
  <c r="E4" i="6"/>
  <c r="J2" i="6" l="1"/>
  <c r="H8" i="2"/>
  <c r="I181" i="6"/>
  <c r="I184" i="6"/>
  <c r="I187" i="6"/>
  <c r="I193" i="6"/>
  <c r="I196" i="6"/>
  <c r="I202" i="6"/>
  <c r="I157" i="6"/>
  <c r="I163" i="6"/>
  <c r="I166" i="6"/>
  <c r="H196" i="6"/>
  <c r="H193" i="6"/>
  <c r="H190" i="6"/>
  <c r="H187" i="6"/>
  <c r="H184" i="6"/>
  <c r="H181" i="6"/>
  <c r="H178" i="6"/>
  <c r="H175" i="6"/>
  <c r="H172" i="6"/>
  <c r="H169" i="6"/>
  <c r="H166" i="6"/>
  <c r="H163" i="6"/>
  <c r="I172" i="6"/>
  <c r="I175" i="6"/>
  <c r="K118" i="6"/>
  <c r="K127" i="6"/>
  <c r="O69" i="2"/>
  <c r="O121" i="2" s="1"/>
  <c r="K91" i="6"/>
  <c r="H82" i="6"/>
  <c r="H85" i="6"/>
  <c r="H88" i="6"/>
  <c r="H91" i="6"/>
  <c r="H94" i="6"/>
  <c r="H97" i="6"/>
  <c r="H100" i="6"/>
  <c r="H103" i="6"/>
  <c r="H106" i="6"/>
  <c r="H109" i="6"/>
  <c r="H112" i="6"/>
  <c r="H115" i="6"/>
  <c r="H118" i="6"/>
  <c r="H121" i="6"/>
  <c r="H124" i="6"/>
  <c r="H127" i="6"/>
  <c r="H130" i="6"/>
  <c r="H133" i="6"/>
  <c r="H145" i="6"/>
  <c r="I85" i="6"/>
  <c r="I88" i="6"/>
  <c r="I94" i="6"/>
  <c r="I97" i="6"/>
  <c r="I100" i="6"/>
  <c r="I103" i="6"/>
  <c r="I106" i="6"/>
  <c r="I109" i="6"/>
  <c r="I112" i="6"/>
  <c r="I115" i="6"/>
  <c r="I121" i="6"/>
  <c r="I124" i="6"/>
  <c r="I127" i="6"/>
  <c r="I130" i="6"/>
  <c r="I133" i="6"/>
  <c r="I79" i="6"/>
  <c r="H85" i="2"/>
  <c r="J101" i="6" s="1"/>
  <c r="H55" i="6"/>
  <c r="H58" i="6"/>
  <c r="H61" i="6"/>
  <c r="H64" i="6"/>
  <c r="H76" i="6"/>
  <c r="I40" i="6"/>
  <c r="I43" i="6"/>
  <c r="I46" i="6"/>
  <c r="I49" i="6"/>
  <c r="I52" i="6"/>
  <c r="I55" i="6"/>
  <c r="I61" i="6"/>
  <c r="I64" i="6"/>
  <c r="M31" i="2"/>
  <c r="H22" i="6"/>
  <c r="I22" i="6"/>
  <c r="I16" i="6"/>
  <c r="I7" i="6"/>
  <c r="I4" i="6"/>
  <c r="I31" i="6" l="1"/>
  <c r="M63" i="2"/>
  <c r="Q121" i="2"/>
  <c r="P121" i="2"/>
  <c r="H160" i="6"/>
  <c r="H202" i="6"/>
  <c r="I160" i="6"/>
  <c r="I190" i="6"/>
  <c r="I178" i="6"/>
  <c r="I58" i="6"/>
  <c r="K82" i="6"/>
  <c r="I118" i="6"/>
  <c r="K124" i="6"/>
  <c r="K112" i="6"/>
  <c r="K100" i="6"/>
  <c r="K130" i="6"/>
  <c r="K106" i="6"/>
  <c r="K115" i="6"/>
  <c r="I169" i="6"/>
  <c r="I91" i="6"/>
  <c r="K133" i="6"/>
  <c r="K109" i="6"/>
  <c r="K97" i="6"/>
  <c r="K121" i="6"/>
  <c r="K103" i="6"/>
  <c r="K94" i="6"/>
  <c r="K88" i="6"/>
  <c r="K85" i="6"/>
  <c r="K79" i="6"/>
  <c r="K10" i="6"/>
  <c r="K7" i="6"/>
  <c r="J8" i="2"/>
  <c r="J5" i="6"/>
  <c r="K8" i="2"/>
  <c r="M5" i="6" s="1"/>
  <c r="J6" i="2"/>
  <c r="H7" i="2" s="1"/>
  <c r="K6" i="2"/>
  <c r="M2" i="6" s="1"/>
  <c r="L2" i="6" l="1"/>
  <c r="L5" i="6"/>
  <c r="H9" i="2"/>
  <c r="J6" i="6" l="1"/>
  <c r="K9" i="2"/>
  <c r="M6" i="6" s="1"/>
  <c r="J9" i="2"/>
  <c r="L6" i="6" s="1"/>
  <c r="J3" i="6"/>
  <c r="K7" i="2"/>
  <c r="M3" i="6" s="1"/>
  <c r="J7" i="2"/>
  <c r="L3" i="6" s="1"/>
  <c r="E113" i="6" l="1"/>
  <c r="J91" i="6"/>
  <c r="I82" i="6"/>
  <c r="J196" i="6"/>
  <c r="J97" i="6" l="1"/>
  <c r="M97" i="6"/>
  <c r="M196" i="6"/>
  <c r="K196" i="6"/>
  <c r="J133" i="6"/>
  <c r="L85" i="6"/>
  <c r="J85" i="6"/>
  <c r="L112" i="6"/>
  <c r="J112" i="6"/>
  <c r="L97" i="6"/>
  <c r="L91" i="6"/>
  <c r="M91" i="6"/>
  <c r="L196" i="6"/>
  <c r="H91" i="2"/>
  <c r="M85" i="6"/>
  <c r="M112" i="6"/>
  <c r="H153" i="2"/>
  <c r="J194" i="6" s="1"/>
  <c r="K91" i="2" l="1"/>
  <c r="M110" i="6" s="1"/>
  <c r="J110" i="6"/>
  <c r="J91" i="2"/>
  <c r="J153" i="2"/>
  <c r="K153" i="2"/>
  <c r="M194" i="6" s="1"/>
  <c r="E89" i="6"/>
  <c r="H154" i="2" l="1"/>
  <c r="J195" i="6" s="1"/>
  <c r="L194" i="6"/>
  <c r="H92" i="2"/>
  <c r="K92" i="2" s="1"/>
  <c r="M111" i="6" s="1"/>
  <c r="L110" i="6"/>
  <c r="H77" i="2"/>
  <c r="K77" i="2" s="1"/>
  <c r="J154" i="2" l="1"/>
  <c r="L195" i="6" s="1"/>
  <c r="K154" i="2"/>
  <c r="M195" i="6" s="1"/>
  <c r="J77" i="2"/>
  <c r="J89" i="6"/>
  <c r="J92" i="2"/>
  <c r="L111" i="6" s="1"/>
  <c r="J111" i="6"/>
  <c r="M89" i="6"/>
  <c r="H78" i="2" l="1"/>
  <c r="L89" i="6"/>
  <c r="M133" i="6"/>
  <c r="H105" i="2"/>
  <c r="J131" i="6" s="1"/>
  <c r="L133" i="6"/>
  <c r="J90" i="6" l="1"/>
  <c r="K78" i="2"/>
  <c r="M90" i="6" s="1"/>
  <c r="J78" i="2"/>
  <c r="L90" i="6" s="1"/>
  <c r="K105" i="2"/>
  <c r="M131" i="6" s="1"/>
  <c r="J105" i="2"/>
  <c r="H106" i="2" l="1"/>
  <c r="J132" i="6" s="1"/>
  <c r="L131" i="6"/>
  <c r="K106" i="2" l="1"/>
  <c r="M132" i="6" s="1"/>
  <c r="J106" i="2"/>
  <c r="L132" i="6" s="1"/>
  <c r="L115" i="6" l="1"/>
  <c r="J115" i="6"/>
  <c r="H38" i="3"/>
  <c r="I38" i="3"/>
  <c r="E8" i="3"/>
  <c r="E7" i="3"/>
  <c r="J43" i="1" l="1"/>
  <c r="I19" i="6"/>
  <c r="J103" i="6" l="1"/>
  <c r="M103" i="6"/>
  <c r="L103" i="6"/>
  <c r="E188" i="6" l="1"/>
  <c r="J109" i="6" l="1"/>
  <c r="L109" i="6"/>
  <c r="M109" i="6"/>
  <c r="F4" i="8" l="1"/>
  <c r="H79" i="6"/>
  <c r="J100" i="6" l="1"/>
  <c r="J106" i="6"/>
  <c r="M106" i="6"/>
  <c r="J82" i="6"/>
  <c r="M82" i="6"/>
  <c r="L100" i="6"/>
  <c r="M100" i="6"/>
  <c r="L82" i="6"/>
  <c r="L106" i="6"/>
  <c r="J88" i="6" l="1"/>
  <c r="M88" i="6"/>
  <c r="L88" i="6"/>
  <c r="M94" i="6" l="1"/>
  <c r="J94" i="6"/>
  <c r="L94" i="6"/>
  <c r="H149" i="2"/>
  <c r="H101" i="2"/>
  <c r="H53" i="2"/>
  <c r="K64" i="6" l="1"/>
  <c r="K190" i="6"/>
  <c r="K53" i="2"/>
  <c r="M62" i="6" s="1"/>
  <c r="J62" i="6"/>
  <c r="K101" i="2"/>
  <c r="M125" i="6" s="1"/>
  <c r="J125" i="6"/>
  <c r="M188" i="6"/>
  <c r="J188" i="6"/>
  <c r="J101" i="2"/>
  <c r="J190" i="6"/>
  <c r="J149" i="2"/>
  <c r="J64" i="6"/>
  <c r="J53" i="2"/>
  <c r="M64" i="6" l="1"/>
  <c r="J127" i="6"/>
  <c r="M127" i="6"/>
  <c r="H102" i="2"/>
  <c r="K102" i="2" s="1"/>
  <c r="M126" i="6" s="1"/>
  <c r="L125" i="6"/>
  <c r="H54" i="2"/>
  <c r="J54" i="2" s="1"/>
  <c r="L63" i="6" s="1"/>
  <c r="L62" i="6"/>
  <c r="H150" i="2"/>
  <c r="M189" i="6" s="1"/>
  <c r="L188" i="6"/>
  <c r="L127" i="6"/>
  <c r="L190" i="6"/>
  <c r="L64" i="6"/>
  <c r="M190" i="6"/>
  <c r="J150" i="2" l="1"/>
  <c r="L189" i="6" s="1"/>
  <c r="J189" i="6"/>
  <c r="K54" i="2"/>
  <c r="M63" i="6" s="1"/>
  <c r="J63" i="6"/>
  <c r="J102" i="2"/>
  <c r="L126" i="6" s="1"/>
  <c r="J126" i="6"/>
  <c r="J64" i="8"/>
  <c r="L6" i="2"/>
  <c r="L24" i="2" s="1"/>
  <c r="N24" i="2" s="1"/>
  <c r="H4" i="6" l="1"/>
  <c r="K218" i="6"/>
  <c r="I218" i="6"/>
  <c r="H218" i="6"/>
  <c r="E218" i="6"/>
  <c r="N69" i="2" l="1"/>
  <c r="Q69" i="2" s="1"/>
  <c r="P69" i="2" l="1"/>
  <c r="L79" i="6" s="1"/>
  <c r="J79" i="6"/>
  <c r="J218" i="6"/>
  <c r="H143" i="2" l="1"/>
  <c r="H145" i="2"/>
  <c r="H147" i="2"/>
  <c r="H151" i="2"/>
  <c r="H157" i="2"/>
  <c r="K157" i="2" l="1"/>
  <c r="M200" i="6" s="1"/>
  <c r="J200" i="6"/>
  <c r="K151" i="2"/>
  <c r="M191" i="6" s="1"/>
  <c r="J191" i="6"/>
  <c r="K147" i="2"/>
  <c r="M185" i="6" s="1"/>
  <c r="J185" i="6"/>
  <c r="K145" i="2"/>
  <c r="M182" i="6" s="1"/>
  <c r="J182" i="6"/>
  <c r="K143" i="2"/>
  <c r="M179" i="6" s="1"/>
  <c r="J179" i="6"/>
  <c r="J147" i="2"/>
  <c r="J184" i="6"/>
  <c r="J143" i="2"/>
  <c r="J193" i="6"/>
  <c r="J187" i="6"/>
  <c r="J157" i="2"/>
  <c r="L200" i="6" s="1"/>
  <c r="J151" i="2"/>
  <c r="J202" i="6"/>
  <c r="J181" i="6"/>
  <c r="J145" i="2"/>
  <c r="H158" i="2" l="1"/>
  <c r="K158" i="2" s="1"/>
  <c r="M201" i="6" s="1"/>
  <c r="H144" i="2"/>
  <c r="K144" i="2" s="1"/>
  <c r="M180" i="6" s="1"/>
  <c r="L179" i="6"/>
  <c r="H146" i="2"/>
  <c r="J146" i="2" s="1"/>
  <c r="L183" i="6" s="1"/>
  <c r="L182" i="6"/>
  <c r="H148" i="2"/>
  <c r="L185" i="6"/>
  <c r="H152" i="2"/>
  <c r="J152" i="2" s="1"/>
  <c r="L192" i="6" s="1"/>
  <c r="L191" i="6"/>
  <c r="K146" i="2" l="1"/>
  <c r="M183" i="6" s="1"/>
  <c r="J183" i="6"/>
  <c r="K148" i="2"/>
  <c r="M186" i="6" s="1"/>
  <c r="J186" i="6"/>
  <c r="J148" i="2"/>
  <c r="L186" i="6" s="1"/>
  <c r="J144" i="2"/>
  <c r="L180" i="6" s="1"/>
  <c r="J180" i="6"/>
  <c r="K152" i="2"/>
  <c r="M192" i="6" s="1"/>
  <c r="J192" i="6"/>
  <c r="J158" i="2"/>
  <c r="L201" i="6" s="1"/>
  <c r="J201" i="6"/>
  <c r="M218" i="6"/>
  <c r="L218" i="6" l="1"/>
  <c r="I232" i="6" l="1"/>
  <c r="K232" i="6"/>
  <c r="H232" i="6"/>
  <c r="E238" i="6"/>
  <c r="E229" i="6"/>
  <c r="E228" i="6"/>
  <c r="E227" i="6"/>
  <c r="E226" i="6"/>
  <c r="E225" i="6"/>
  <c r="I224" i="6"/>
  <c r="J224" i="6"/>
  <c r="K224" i="6"/>
  <c r="H224" i="6"/>
  <c r="O224" i="6"/>
  <c r="P224" i="6" s="1"/>
  <c r="E224" i="6"/>
  <c r="I223" i="6"/>
  <c r="J223" i="6"/>
  <c r="K223" i="6"/>
  <c r="H223" i="6"/>
  <c r="O223" i="6"/>
  <c r="P223" i="6" s="1"/>
  <c r="I222" i="6"/>
  <c r="J222" i="6"/>
  <c r="K222" i="6"/>
  <c r="H222" i="6"/>
  <c r="O222" i="6"/>
  <c r="P222" i="6" s="1"/>
  <c r="I221" i="6"/>
  <c r="J221" i="6"/>
  <c r="K221" i="6"/>
  <c r="H221" i="6"/>
  <c r="O221" i="6"/>
  <c r="P221" i="6" s="1"/>
  <c r="I220" i="6"/>
  <c r="J220" i="6"/>
  <c r="K220" i="6"/>
  <c r="H220" i="6"/>
  <c r="O220" i="6"/>
  <c r="P220" i="6" s="1"/>
  <c r="O219" i="6"/>
  <c r="P219" i="6" s="1"/>
  <c r="K219" i="6"/>
  <c r="J219" i="6"/>
  <c r="I219" i="6"/>
  <c r="H219" i="6"/>
  <c r="O218" i="6"/>
  <c r="P218" i="6" s="1"/>
  <c r="E216" i="6"/>
  <c r="O216" i="6"/>
  <c r="P216" i="6" s="1"/>
  <c r="I216" i="6"/>
  <c r="J216" i="6"/>
  <c r="K216" i="6"/>
  <c r="H216" i="6"/>
  <c r="K214" i="6"/>
  <c r="I214" i="6"/>
  <c r="H214" i="6"/>
  <c r="E214" i="6"/>
  <c r="E213" i="6"/>
  <c r="O215" i="6"/>
  <c r="P215" i="6" s="1"/>
  <c r="K215" i="6"/>
  <c r="J215" i="6"/>
  <c r="I215" i="6"/>
  <c r="H215" i="6"/>
  <c r="O214" i="6"/>
  <c r="P214" i="6" s="1"/>
  <c r="O213" i="6"/>
  <c r="P213" i="6" s="1"/>
  <c r="K213" i="6"/>
  <c r="I213" i="6"/>
  <c r="H213" i="6"/>
  <c r="K212" i="6"/>
  <c r="I212" i="6"/>
  <c r="H212" i="6"/>
  <c r="I64" i="2" l="1"/>
  <c r="I63" i="2"/>
  <c r="J214" i="6" l="1"/>
  <c r="L219" i="6" l="1"/>
  <c r="J40" i="1"/>
  <c r="M221" i="6"/>
  <c r="M219" i="6"/>
  <c r="M215" i="6"/>
  <c r="G50" i="1"/>
  <c r="G53" i="1"/>
  <c r="J50" i="1" l="1"/>
  <c r="G18" i="3"/>
  <c r="J18" i="3" s="1"/>
  <c r="I50" i="1"/>
  <c r="I18" i="3" s="1"/>
  <c r="I53" i="1"/>
  <c r="J53" i="1"/>
  <c r="L237" i="6"/>
  <c r="J237" i="6"/>
  <c r="M238" i="6"/>
  <c r="J238" i="6"/>
  <c r="L216" i="6"/>
  <c r="J232" i="6"/>
  <c r="L213" i="6"/>
  <c r="J213" i="6"/>
  <c r="L220" i="6"/>
  <c r="L223" i="6"/>
  <c r="L222" i="6"/>
  <c r="L224" i="6"/>
  <c r="L214" i="6"/>
  <c r="J42" i="1"/>
  <c r="J24" i="1"/>
  <c r="M222" i="6" s="1"/>
  <c r="M220" i="6"/>
  <c r="L238" i="6"/>
  <c r="M237" i="6"/>
  <c r="M216" i="6"/>
  <c r="J25" i="1"/>
  <c r="M223" i="6" s="1"/>
  <c r="J41" i="1"/>
  <c r="M232" i="6" s="1"/>
  <c r="M214" i="6"/>
  <c r="J26" i="1"/>
  <c r="M224" i="6" s="1"/>
  <c r="M213" i="6"/>
  <c r="L215" i="6" l="1"/>
  <c r="L232" i="6"/>
  <c r="L221" i="6"/>
  <c r="M212" i="6" l="1"/>
  <c r="J212" i="6"/>
  <c r="L212" i="6"/>
  <c r="E237" i="6"/>
  <c r="O235" i="6"/>
  <c r="P235" i="6" s="1"/>
  <c r="K235" i="6"/>
  <c r="I235" i="6"/>
  <c r="H235" i="6"/>
  <c r="E235" i="6"/>
  <c r="O234" i="6"/>
  <c r="P234" i="6" s="1"/>
  <c r="K234" i="6"/>
  <c r="I234" i="6"/>
  <c r="H234" i="6"/>
  <c r="E234" i="6"/>
  <c r="O233" i="6"/>
  <c r="P233" i="6" s="1"/>
  <c r="K233" i="6"/>
  <c r="I233" i="6"/>
  <c r="H233" i="6"/>
  <c r="E233" i="6"/>
  <c r="O232" i="6"/>
  <c r="P232" i="6" s="1"/>
  <c r="E232" i="6"/>
  <c r="O231" i="6"/>
  <c r="P231" i="6" s="1"/>
  <c r="K231" i="6"/>
  <c r="I231" i="6"/>
  <c r="H231" i="6"/>
  <c r="E231" i="6"/>
  <c r="O230" i="6"/>
  <c r="P230" i="6" s="1"/>
  <c r="K230" i="6"/>
  <c r="I230" i="6"/>
  <c r="H230" i="6"/>
  <c r="E230" i="6"/>
  <c r="O229" i="6"/>
  <c r="P229" i="6" s="1"/>
  <c r="K229" i="6"/>
  <c r="I229" i="6"/>
  <c r="H229" i="6"/>
  <c r="O228" i="6"/>
  <c r="P228" i="6" s="1"/>
  <c r="K228" i="6"/>
  <c r="I228" i="6"/>
  <c r="H228" i="6"/>
  <c r="O227" i="6"/>
  <c r="P227" i="6" s="1"/>
  <c r="K227" i="6"/>
  <c r="I227" i="6"/>
  <c r="H227" i="6"/>
  <c r="O226" i="6"/>
  <c r="P226" i="6" s="1"/>
  <c r="K226" i="6"/>
  <c r="I226" i="6"/>
  <c r="H226" i="6"/>
  <c r="O225" i="6"/>
  <c r="P225" i="6" s="1"/>
  <c r="K225" i="6"/>
  <c r="I225" i="6"/>
  <c r="H225" i="6"/>
  <c r="E223" i="6"/>
  <c r="E222" i="6"/>
  <c r="E220" i="6"/>
  <c r="E219" i="6"/>
  <c r="O212" i="6"/>
  <c r="P212" i="6" s="1"/>
  <c r="E212" i="6"/>
  <c r="E191" i="6"/>
  <c r="E185" i="6"/>
  <c r="E182" i="6"/>
  <c r="E179" i="6"/>
  <c r="E176" i="6"/>
  <c r="E173" i="6"/>
  <c r="E170" i="6"/>
  <c r="E167" i="6"/>
  <c r="E164" i="6"/>
  <c r="E161" i="6"/>
  <c r="E158" i="6"/>
  <c r="O155" i="6"/>
  <c r="P155" i="6" s="1"/>
  <c r="E155" i="6"/>
  <c r="E119" i="6"/>
  <c r="E116" i="6"/>
  <c r="E110" i="6"/>
  <c r="E107" i="6"/>
  <c r="E101" i="6"/>
  <c r="E98" i="6"/>
  <c r="E95" i="6"/>
  <c r="E92" i="6"/>
  <c r="E86" i="6"/>
  <c r="E83" i="6"/>
  <c r="E80" i="6"/>
  <c r="O77" i="6"/>
  <c r="P77" i="6" s="1"/>
  <c r="E77" i="6"/>
  <c r="E59" i="6"/>
  <c r="E56" i="6"/>
  <c r="E53" i="6"/>
  <c r="E50" i="6"/>
  <c r="E47" i="6"/>
  <c r="E44" i="6"/>
  <c r="E41" i="6"/>
  <c r="E38" i="6"/>
  <c r="E35" i="6"/>
  <c r="E32" i="6"/>
  <c r="O29" i="6"/>
  <c r="P29" i="6" s="1"/>
  <c r="E29" i="6"/>
  <c r="E5" i="6"/>
  <c r="E2" i="6"/>
  <c r="B3" i="7"/>
  <c r="B3" i="5"/>
  <c r="B3" i="4"/>
  <c r="H141" i="2"/>
  <c r="J176" i="6" s="1"/>
  <c r="H139" i="2"/>
  <c r="H137" i="2"/>
  <c r="J170" i="6" s="1"/>
  <c r="K169" i="6"/>
  <c r="H135" i="2"/>
  <c r="J167" i="6" s="1"/>
  <c r="H133" i="2"/>
  <c r="J164" i="6" s="1"/>
  <c r="H131" i="2"/>
  <c r="J161" i="6" s="1"/>
  <c r="H129" i="2"/>
  <c r="J158" i="6" s="1"/>
  <c r="O127" i="2"/>
  <c r="O167" i="2" s="1"/>
  <c r="J155" i="6"/>
  <c r="K145" i="6"/>
  <c r="I145" i="6"/>
  <c r="H113" i="2"/>
  <c r="H103" i="2"/>
  <c r="J128" i="6" s="1"/>
  <c r="H99" i="2"/>
  <c r="J122" i="6" s="1"/>
  <c r="H97" i="2"/>
  <c r="J119" i="6" s="1"/>
  <c r="H95" i="2"/>
  <c r="J116" i="6" s="1"/>
  <c r="H93" i="2"/>
  <c r="J113" i="6" s="1"/>
  <c r="H87" i="2"/>
  <c r="J104" i="6" s="1"/>
  <c r="H83" i="2"/>
  <c r="H81" i="2"/>
  <c r="H79" i="2"/>
  <c r="H75" i="2"/>
  <c r="J86" i="6" s="1"/>
  <c r="H73" i="2"/>
  <c r="H71" i="2"/>
  <c r="J80" i="6" s="1"/>
  <c r="H69" i="2"/>
  <c r="H26" i="3"/>
  <c r="J74" i="6"/>
  <c r="H51" i="2"/>
  <c r="J59" i="6" s="1"/>
  <c r="J56" i="6"/>
  <c r="H47" i="2"/>
  <c r="H45" i="2"/>
  <c r="J50" i="6" s="1"/>
  <c r="H49" i="6"/>
  <c r="H43" i="2"/>
  <c r="H46" i="6"/>
  <c r="J44" i="6"/>
  <c r="H43" i="6"/>
  <c r="H40" i="6"/>
  <c r="I37" i="6"/>
  <c r="H37" i="6"/>
  <c r="H35" i="2"/>
  <c r="I34" i="6"/>
  <c r="H34" i="6"/>
  <c r="O31" i="2"/>
  <c r="O63" i="2" s="1"/>
  <c r="L31" i="2"/>
  <c r="L63" i="2" s="1"/>
  <c r="N63" i="2" s="1"/>
  <c r="H31" i="2"/>
  <c r="I25" i="2"/>
  <c r="I28" i="6"/>
  <c r="H28" i="6"/>
  <c r="J26" i="6"/>
  <c r="H18" i="2"/>
  <c r="H19" i="6"/>
  <c r="H16" i="2"/>
  <c r="J17" i="6" s="1"/>
  <c r="H16" i="6"/>
  <c r="H14" i="2"/>
  <c r="I13" i="6"/>
  <c r="H13" i="6"/>
  <c r="H12" i="2"/>
  <c r="J11" i="6" s="1"/>
  <c r="I10" i="6"/>
  <c r="H10" i="6"/>
  <c r="H10" i="2"/>
  <c r="O6" i="2"/>
  <c r="O24" i="2" s="1"/>
  <c r="Q24" i="2" s="1"/>
  <c r="B3" i="2"/>
  <c r="J235" i="6"/>
  <c r="J234" i="6"/>
  <c r="L233" i="6"/>
  <c r="J231" i="6"/>
  <c r="J230" i="6"/>
  <c r="J229" i="6"/>
  <c r="J228" i="6"/>
  <c r="J227" i="6"/>
  <c r="M226" i="6"/>
  <c r="J225" i="6"/>
  <c r="I45" i="3"/>
  <c r="H45" i="3"/>
  <c r="I21" i="3" s="1"/>
  <c r="I23" i="3"/>
  <c r="I29" i="3"/>
  <c r="H23" i="3"/>
  <c r="E23" i="3"/>
  <c r="G23" i="3" s="1"/>
  <c r="I22" i="3"/>
  <c r="H22" i="3"/>
  <c r="G22" i="3"/>
  <c r="H21" i="3"/>
  <c r="G21" i="3"/>
  <c r="G20" i="3"/>
  <c r="J20" i="3" s="1"/>
  <c r="J21" i="3" l="1"/>
  <c r="Q167" i="2"/>
  <c r="P167" i="2"/>
  <c r="P63" i="2"/>
  <c r="J23" i="3"/>
  <c r="J22" i="3"/>
  <c r="H31" i="6"/>
  <c r="E26" i="3"/>
  <c r="J173" i="6"/>
  <c r="J139" i="2"/>
  <c r="K19" i="6"/>
  <c r="K40" i="6"/>
  <c r="K49" i="6"/>
  <c r="K16" i="6"/>
  <c r="K46" i="6"/>
  <c r="K55" i="6"/>
  <c r="K61" i="6"/>
  <c r="K160" i="6"/>
  <c r="K187" i="6"/>
  <c r="M187" i="6"/>
  <c r="K184" i="6"/>
  <c r="M184" i="6"/>
  <c r="K13" i="6"/>
  <c r="K22" i="6"/>
  <c r="K28" i="6"/>
  <c r="K34" i="6"/>
  <c r="K37" i="6"/>
  <c r="K43" i="6"/>
  <c r="K178" i="6"/>
  <c r="K193" i="6"/>
  <c r="M193" i="6"/>
  <c r="K31" i="6"/>
  <c r="K52" i="6"/>
  <c r="K58" i="6"/>
  <c r="K76" i="6"/>
  <c r="K157" i="6"/>
  <c r="K181" i="6"/>
  <c r="M181" i="6"/>
  <c r="K202" i="6"/>
  <c r="M202" i="6"/>
  <c r="K4" i="6"/>
  <c r="K175" i="6"/>
  <c r="K172" i="6"/>
  <c r="K166" i="6"/>
  <c r="K163" i="6"/>
  <c r="J143" i="6"/>
  <c r="K113" i="2"/>
  <c r="M143" i="6" s="1"/>
  <c r="K18" i="2"/>
  <c r="M20" i="6" s="1"/>
  <c r="J20" i="6"/>
  <c r="K31" i="2"/>
  <c r="M29" i="6" s="1"/>
  <c r="J29" i="6"/>
  <c r="J69" i="2"/>
  <c r="L77" i="6" s="1"/>
  <c r="J77" i="6"/>
  <c r="K43" i="2"/>
  <c r="M47" i="6" s="1"/>
  <c r="J47" i="6"/>
  <c r="H157" i="6"/>
  <c r="H7" i="6"/>
  <c r="K14" i="2"/>
  <c r="M14" i="6" s="1"/>
  <c r="J14" i="6"/>
  <c r="J73" i="2"/>
  <c r="L83" i="6" s="1"/>
  <c r="J83" i="6"/>
  <c r="J10" i="2"/>
  <c r="J8" i="6"/>
  <c r="J79" i="2"/>
  <c r="J92" i="6"/>
  <c r="K47" i="2"/>
  <c r="M53" i="6" s="1"/>
  <c r="J53" i="6"/>
  <c r="J81" i="2"/>
  <c r="L95" i="6" s="1"/>
  <c r="J95" i="6"/>
  <c r="K35" i="2"/>
  <c r="M35" i="6" s="1"/>
  <c r="J35" i="6"/>
  <c r="J83" i="2"/>
  <c r="L98" i="6" s="1"/>
  <c r="J98" i="6"/>
  <c r="F27" i="3"/>
  <c r="H27" i="3"/>
  <c r="E25" i="3"/>
  <c r="F25" i="3"/>
  <c r="F28" i="3"/>
  <c r="I76" i="6"/>
  <c r="M169" i="6"/>
  <c r="G24" i="3"/>
  <c r="J24" i="3" s="1"/>
  <c r="K103" i="2"/>
  <c r="M128" i="6" s="1"/>
  <c r="I26" i="2"/>
  <c r="K99" i="2"/>
  <c r="M122" i="6" s="1"/>
  <c r="J113" i="2"/>
  <c r="L143" i="6" s="1"/>
  <c r="J163" i="6"/>
  <c r="K137" i="2"/>
  <c r="M170" i="6" s="1"/>
  <c r="J13" i="6"/>
  <c r="J19" i="6"/>
  <c r="J46" i="6"/>
  <c r="J52" i="6"/>
  <c r="K87" i="2"/>
  <c r="M104" i="6" s="1"/>
  <c r="J97" i="2"/>
  <c r="L119" i="6" s="1"/>
  <c r="K71" i="2"/>
  <c r="M80" i="6" s="1"/>
  <c r="K85" i="2"/>
  <c r="M101" i="6" s="1"/>
  <c r="K97" i="2"/>
  <c r="M119" i="6" s="1"/>
  <c r="L202" i="6"/>
  <c r="K127" i="2"/>
  <c r="M155" i="6" s="1"/>
  <c r="J47" i="2"/>
  <c r="L53" i="6" s="1"/>
  <c r="K95" i="2"/>
  <c r="M116" i="6" s="1"/>
  <c r="K141" i="2"/>
  <c r="M176" i="6" s="1"/>
  <c r="K129" i="2"/>
  <c r="M158" i="6" s="1"/>
  <c r="L184" i="6"/>
  <c r="J160" i="6"/>
  <c r="J166" i="6"/>
  <c r="N127" i="2"/>
  <c r="J157" i="6" s="1"/>
  <c r="J34" i="6"/>
  <c r="J40" i="6"/>
  <c r="J41" i="2"/>
  <c r="L44" i="6" s="1"/>
  <c r="J33" i="2"/>
  <c r="L32" i="6" s="1"/>
  <c r="K69" i="2"/>
  <c r="M77" i="6" s="1"/>
  <c r="J87" i="2"/>
  <c r="L104" i="6" s="1"/>
  <c r="J178" i="6"/>
  <c r="J99" i="2"/>
  <c r="L122" i="6" s="1"/>
  <c r="K139" i="2"/>
  <c r="M173" i="6" s="1"/>
  <c r="J35" i="2"/>
  <c r="L35" i="6" s="1"/>
  <c r="J43" i="2"/>
  <c r="L47" i="6" s="1"/>
  <c r="K83" i="2"/>
  <c r="M98" i="6" s="1"/>
  <c r="J93" i="2"/>
  <c r="L113" i="6" s="1"/>
  <c r="J103" i="2"/>
  <c r="L128" i="6" s="1"/>
  <c r="K135" i="2"/>
  <c r="M167" i="6" s="1"/>
  <c r="K75" i="2"/>
  <c r="M86" i="6" s="1"/>
  <c r="K93" i="2"/>
  <c r="M113" i="6" s="1"/>
  <c r="K131" i="2"/>
  <c r="M161" i="6" s="1"/>
  <c r="J169" i="6"/>
  <c r="J58" i="6"/>
  <c r="K73" i="2"/>
  <c r="M83" i="6" s="1"/>
  <c r="K81" i="2"/>
  <c r="M95" i="6" s="1"/>
  <c r="J175" i="6"/>
  <c r="J31" i="2"/>
  <c r="J37" i="2"/>
  <c r="J45" i="2"/>
  <c r="L50" i="6" s="1"/>
  <c r="K79" i="2"/>
  <c r="M92" i="6" s="1"/>
  <c r="J85" i="2"/>
  <c r="L101" i="6" s="1"/>
  <c r="J95" i="2"/>
  <c r="L116" i="6" s="1"/>
  <c r="K133" i="2"/>
  <c r="M164" i="6" s="1"/>
  <c r="J172" i="6"/>
  <c r="J14" i="2"/>
  <c r="L14" i="6" s="1"/>
  <c r="K10" i="2"/>
  <c r="M8" i="6" s="1"/>
  <c r="M26" i="6"/>
  <c r="J18" i="2"/>
  <c r="L20" i="6" s="1"/>
  <c r="J12" i="2"/>
  <c r="L11" i="6" s="1"/>
  <c r="J16" i="2"/>
  <c r="L17" i="6" s="1"/>
  <c r="M234" i="6"/>
  <c r="L226" i="6"/>
  <c r="L230" i="6"/>
  <c r="M230" i="6"/>
  <c r="L225" i="6"/>
  <c r="M225" i="6"/>
  <c r="L235" i="6"/>
  <c r="L228" i="6"/>
  <c r="L231" i="6"/>
  <c r="M235" i="6"/>
  <c r="M231" i="6"/>
  <c r="M227" i="6"/>
  <c r="M233" i="6"/>
  <c r="L234" i="6"/>
  <c r="J226" i="6"/>
  <c r="J233" i="6"/>
  <c r="M228" i="6"/>
  <c r="L229" i="6"/>
  <c r="M229" i="6"/>
  <c r="L227" i="6"/>
  <c r="I20" i="3"/>
  <c r="K12" i="2"/>
  <c r="M11" i="6" s="1"/>
  <c r="K16" i="2"/>
  <c r="M17" i="6" s="1"/>
  <c r="J28" i="6"/>
  <c r="N6" i="2"/>
  <c r="J4" i="6" s="1"/>
  <c r="J16" i="6"/>
  <c r="J22" i="6"/>
  <c r="K33" i="2"/>
  <c r="M32" i="6" s="1"/>
  <c r="M38" i="6"/>
  <c r="K41" i="2"/>
  <c r="M44" i="6" s="1"/>
  <c r="K45" i="2"/>
  <c r="M50" i="6" s="1"/>
  <c r="M56" i="6"/>
  <c r="J61" i="6"/>
  <c r="J76" i="6"/>
  <c r="J51" i="2"/>
  <c r="L59" i="6" s="1"/>
  <c r="N31" i="2"/>
  <c r="J31" i="6" s="1"/>
  <c r="J37" i="6"/>
  <c r="J43" i="6"/>
  <c r="J49" i="6"/>
  <c r="J55" i="6"/>
  <c r="K51" i="2"/>
  <c r="M59" i="6" s="1"/>
  <c r="M74" i="6"/>
  <c r="H63" i="2"/>
  <c r="J71" i="2"/>
  <c r="L80" i="6" s="1"/>
  <c r="J75" i="2"/>
  <c r="L86" i="6" s="1"/>
  <c r="J127" i="2"/>
  <c r="J129" i="2"/>
  <c r="L158" i="6" s="1"/>
  <c r="J131" i="2"/>
  <c r="L161" i="6" s="1"/>
  <c r="J133" i="2"/>
  <c r="L164" i="6" s="1"/>
  <c r="J135" i="2"/>
  <c r="L167" i="6" s="1"/>
  <c r="J137" i="2"/>
  <c r="L170" i="6" s="1"/>
  <c r="L173" i="6"/>
  <c r="J141" i="2"/>
  <c r="L176" i="6" s="1"/>
  <c r="L155" i="6" l="1"/>
  <c r="H128" i="2"/>
  <c r="J156" i="6" s="1"/>
  <c r="M22" i="6"/>
  <c r="M34" i="6"/>
  <c r="M43" i="6"/>
  <c r="M163" i="6"/>
  <c r="M16" i="6"/>
  <c r="M160" i="6"/>
  <c r="M55" i="6"/>
  <c r="M40" i="6"/>
  <c r="J10" i="6"/>
  <c r="M10" i="6"/>
  <c r="Q127" i="2"/>
  <c r="M157" i="6" s="1"/>
  <c r="Q31" i="2"/>
  <c r="M31" i="6" s="1"/>
  <c r="M166" i="6"/>
  <c r="M175" i="6"/>
  <c r="M178" i="6"/>
  <c r="M37" i="6"/>
  <c r="M13" i="6"/>
  <c r="M61" i="6"/>
  <c r="M46" i="6"/>
  <c r="M49" i="6"/>
  <c r="M19" i="6"/>
  <c r="L145" i="6"/>
  <c r="J130" i="6"/>
  <c r="M130" i="6"/>
  <c r="J7" i="6"/>
  <c r="M7" i="6"/>
  <c r="M76" i="6"/>
  <c r="M52" i="6"/>
  <c r="Q6" i="2"/>
  <c r="M4" i="6" s="1"/>
  <c r="H28" i="3"/>
  <c r="L74" i="6"/>
  <c r="H62" i="2"/>
  <c r="J75" i="6" s="1"/>
  <c r="L26" i="6"/>
  <c r="H23" i="2"/>
  <c r="H84" i="2"/>
  <c r="J99" i="6" s="1"/>
  <c r="J145" i="6"/>
  <c r="H70" i="2"/>
  <c r="J78" i="6" s="1"/>
  <c r="H74" i="2"/>
  <c r="J84" i="6" s="1"/>
  <c r="H82" i="2"/>
  <c r="J96" i="6" s="1"/>
  <c r="L38" i="6"/>
  <c r="H38" i="2"/>
  <c r="J39" i="6" s="1"/>
  <c r="H32" i="2"/>
  <c r="J30" i="6" s="1"/>
  <c r="L29" i="6"/>
  <c r="H50" i="2"/>
  <c r="L56" i="6"/>
  <c r="L118" i="6"/>
  <c r="J118" i="6"/>
  <c r="L124" i="6"/>
  <c r="J124" i="6"/>
  <c r="L121" i="6"/>
  <c r="J121" i="6"/>
  <c r="H80" i="2"/>
  <c r="J93" i="6" s="1"/>
  <c r="L92" i="6"/>
  <c r="L8" i="6"/>
  <c r="H11" i="2"/>
  <c r="J9" i="6" s="1"/>
  <c r="L130" i="6"/>
  <c r="G25" i="3"/>
  <c r="F26" i="3"/>
  <c r="F30" i="3" s="1"/>
  <c r="H25" i="3"/>
  <c r="I26" i="3"/>
  <c r="L7" i="6"/>
  <c r="P127" i="2"/>
  <c r="L157" i="6" s="1"/>
  <c r="L19" i="6"/>
  <c r="M28" i="6"/>
  <c r="L163" i="6"/>
  <c r="M79" i="6"/>
  <c r="L166" i="6"/>
  <c r="L46" i="6"/>
  <c r="M124" i="6"/>
  <c r="M145" i="6"/>
  <c r="J144" i="6"/>
  <c r="H104" i="2"/>
  <c r="H100" i="2"/>
  <c r="J123" i="6" s="1"/>
  <c r="H98" i="2"/>
  <c r="J120" i="6" s="1"/>
  <c r="L181" i="6"/>
  <c r="H96" i="2"/>
  <c r="H88" i="2"/>
  <c r="H42" i="2"/>
  <c r="J45" i="6" s="1"/>
  <c r="L178" i="6"/>
  <c r="L40" i="6"/>
  <c r="L13" i="6"/>
  <c r="M172" i="6"/>
  <c r="L172" i="6"/>
  <c r="L34" i="6"/>
  <c r="M58" i="6"/>
  <c r="E28" i="3"/>
  <c r="L58" i="6"/>
  <c r="L52" i="6"/>
  <c r="M121" i="6"/>
  <c r="L175" i="6"/>
  <c r="L193" i="6"/>
  <c r="H34" i="2"/>
  <c r="L187" i="6"/>
  <c r="L160" i="6"/>
  <c r="M115" i="6"/>
  <c r="H48" i="2"/>
  <c r="J54" i="6" s="1"/>
  <c r="H94" i="2"/>
  <c r="H46" i="2"/>
  <c r="J51" i="6" s="1"/>
  <c r="H44" i="2"/>
  <c r="J48" i="6" s="1"/>
  <c r="H36" i="2"/>
  <c r="J36" i="6" s="1"/>
  <c r="L169" i="6"/>
  <c r="H86" i="2"/>
  <c r="J102" i="6" s="1"/>
  <c r="H15" i="2"/>
  <c r="H19" i="2"/>
  <c r="H17" i="2"/>
  <c r="J18" i="6" s="1"/>
  <c r="H13" i="2"/>
  <c r="J12" i="6" s="1"/>
  <c r="L22" i="6"/>
  <c r="P6" i="2"/>
  <c r="L4" i="6" s="1"/>
  <c r="L10" i="6"/>
  <c r="L16" i="6"/>
  <c r="L28" i="6"/>
  <c r="K24" i="2"/>
  <c r="J24" i="2"/>
  <c r="H25" i="2" s="1"/>
  <c r="L43" i="6"/>
  <c r="L76" i="6"/>
  <c r="L55" i="6"/>
  <c r="H52" i="2"/>
  <c r="J60" i="6" s="1"/>
  <c r="L61" i="6"/>
  <c r="J63" i="2"/>
  <c r="H64" i="2" s="1"/>
  <c r="K63" i="2"/>
  <c r="L37" i="6"/>
  <c r="L49" i="6"/>
  <c r="P31" i="2"/>
  <c r="L31" i="6" s="1"/>
  <c r="H72" i="2"/>
  <c r="J81" i="6" s="1"/>
  <c r="H76" i="2"/>
  <c r="J87" i="6" s="1"/>
  <c r="M118" i="6"/>
  <c r="H140" i="2"/>
  <c r="J174" i="6" s="1"/>
  <c r="H130" i="2"/>
  <c r="J159" i="6" s="1"/>
  <c r="H138" i="2"/>
  <c r="J171" i="6" s="1"/>
  <c r="H134" i="2"/>
  <c r="J165" i="6" s="1"/>
  <c r="H136" i="2"/>
  <c r="J168" i="6" s="1"/>
  <c r="H142" i="2"/>
  <c r="J177" i="6" s="1"/>
  <c r="H132" i="2"/>
  <c r="H30" i="3" l="1"/>
  <c r="J57" i="6"/>
  <c r="J50" i="2"/>
  <c r="L57" i="6" s="1"/>
  <c r="J84" i="2"/>
  <c r="L99" i="6" s="1"/>
  <c r="Q63" i="2"/>
  <c r="J62" i="2"/>
  <c r="L75" i="6" s="1"/>
  <c r="K62" i="2"/>
  <c r="M75" i="6" s="1"/>
  <c r="K74" i="2"/>
  <c r="M84" i="6" s="1"/>
  <c r="J25" i="3"/>
  <c r="J23" i="2"/>
  <c r="L27" i="6" s="1"/>
  <c r="K23" i="2"/>
  <c r="M27" i="6" s="1"/>
  <c r="K82" i="2"/>
  <c r="M96" i="6" s="1"/>
  <c r="J70" i="2"/>
  <c r="L78" i="6" s="1"/>
  <c r="J74" i="2"/>
  <c r="L84" i="6" s="1"/>
  <c r="K70" i="2"/>
  <c r="M78" i="6" s="1"/>
  <c r="K84" i="2"/>
  <c r="M99" i="6" s="1"/>
  <c r="J82" i="2"/>
  <c r="L96" i="6" s="1"/>
  <c r="K80" i="2"/>
  <c r="M93" i="6" s="1"/>
  <c r="J80" i="2"/>
  <c r="L93" i="6" s="1"/>
  <c r="M57" i="6"/>
  <c r="J19" i="2"/>
  <c r="L21" i="6" s="1"/>
  <c r="J21" i="6"/>
  <c r="K94" i="2"/>
  <c r="M114" i="6" s="1"/>
  <c r="J114" i="6"/>
  <c r="K11" i="2"/>
  <c r="M9" i="6" s="1"/>
  <c r="J27" i="6"/>
  <c r="K96" i="2"/>
  <c r="M117" i="6" s="1"/>
  <c r="J117" i="6"/>
  <c r="J11" i="2"/>
  <c r="L9" i="6" s="1"/>
  <c r="J15" i="2"/>
  <c r="L15" i="6" s="1"/>
  <c r="J15" i="6"/>
  <c r="K88" i="2"/>
  <c r="M105" i="6" s="1"/>
  <c r="J105" i="6"/>
  <c r="K132" i="2"/>
  <c r="M162" i="6" s="1"/>
  <c r="J162" i="6"/>
  <c r="J34" i="2"/>
  <c r="L33" i="6" s="1"/>
  <c r="J33" i="6"/>
  <c r="J104" i="2"/>
  <c r="L129" i="6" s="1"/>
  <c r="J129" i="6"/>
  <c r="F29" i="3"/>
  <c r="P24" i="2"/>
  <c r="I25" i="3"/>
  <c r="J98" i="2"/>
  <c r="L120" i="6" s="1"/>
  <c r="J100" i="2"/>
  <c r="L123" i="6" s="1"/>
  <c r="K100" i="2"/>
  <c r="M123" i="6" s="1"/>
  <c r="K104" i="2"/>
  <c r="M129" i="6" s="1"/>
  <c r="K114" i="2"/>
  <c r="M144" i="6" s="1"/>
  <c r="J114" i="2"/>
  <c r="L144" i="6" s="1"/>
  <c r="K98" i="2"/>
  <c r="M120" i="6" s="1"/>
  <c r="G28" i="3"/>
  <c r="J28" i="3" s="1"/>
  <c r="J96" i="2"/>
  <c r="L117" i="6" s="1"/>
  <c r="J88" i="2"/>
  <c r="L105" i="6" s="1"/>
  <c r="J42" i="2"/>
  <c r="L45" i="6" s="1"/>
  <c r="K42" i="2"/>
  <c r="M45" i="6" s="1"/>
  <c r="K86" i="2"/>
  <c r="M102" i="6" s="1"/>
  <c r="I28" i="3"/>
  <c r="G26" i="3"/>
  <c r="J26" i="3" s="1"/>
  <c r="K34" i="2"/>
  <c r="M33" i="6" s="1"/>
  <c r="J94" i="2"/>
  <c r="L114" i="6" s="1"/>
  <c r="J86" i="2"/>
  <c r="L102" i="6" s="1"/>
  <c r="J48" i="2"/>
  <c r="L54" i="6" s="1"/>
  <c r="K48" i="2"/>
  <c r="M54" i="6" s="1"/>
  <c r="K19" i="2"/>
  <c r="M21" i="6" s="1"/>
  <c r="J44" i="2"/>
  <c r="L48" i="6" s="1"/>
  <c r="K44" i="2"/>
  <c r="M48" i="6" s="1"/>
  <c r="J36" i="2"/>
  <c r="L36" i="6" s="1"/>
  <c r="K36" i="2"/>
  <c r="M36" i="6" s="1"/>
  <c r="K46" i="2"/>
  <c r="M51" i="6" s="1"/>
  <c r="J46" i="2"/>
  <c r="L51" i="6" s="1"/>
  <c r="J32" i="2"/>
  <c r="L30" i="6" s="1"/>
  <c r="K32" i="2"/>
  <c r="M30" i="6" s="1"/>
  <c r="K38" i="2"/>
  <c r="M39" i="6" s="1"/>
  <c r="J38" i="2"/>
  <c r="L39" i="6" s="1"/>
  <c r="K15" i="2"/>
  <c r="M15" i="6" s="1"/>
  <c r="K13" i="2"/>
  <c r="M12" i="6" s="1"/>
  <c r="J13" i="2"/>
  <c r="L12" i="6" s="1"/>
  <c r="J17" i="2"/>
  <c r="L18" i="6" s="1"/>
  <c r="M18" i="6"/>
  <c r="K25" i="2"/>
  <c r="J25" i="2"/>
  <c r="J52" i="2"/>
  <c r="L60" i="6" s="1"/>
  <c r="K52" i="2"/>
  <c r="M60" i="6" s="1"/>
  <c r="J64" i="2"/>
  <c r="K64" i="2"/>
  <c r="K72" i="2"/>
  <c r="M81" i="6" s="1"/>
  <c r="J72" i="2"/>
  <c r="L81" i="6" s="1"/>
  <c r="K76" i="2"/>
  <c r="M87" i="6" s="1"/>
  <c r="J76" i="2"/>
  <c r="L87" i="6" s="1"/>
  <c r="K130" i="2"/>
  <c r="M159" i="6" s="1"/>
  <c r="J130" i="2"/>
  <c r="L159" i="6" s="1"/>
  <c r="K140" i="2"/>
  <c r="M174" i="6" s="1"/>
  <c r="J140" i="2"/>
  <c r="L174" i="6" s="1"/>
  <c r="J132" i="2"/>
  <c r="L162" i="6" s="1"/>
  <c r="K138" i="2"/>
  <c r="M171" i="6" s="1"/>
  <c r="J138" i="2"/>
  <c r="L171" i="6" s="1"/>
  <c r="M168" i="6"/>
  <c r="J136" i="2"/>
  <c r="L168" i="6" s="1"/>
  <c r="M177" i="6"/>
  <c r="J142" i="2"/>
  <c r="L177" i="6" s="1"/>
  <c r="K134" i="2"/>
  <c r="M165" i="6" s="1"/>
  <c r="J134" i="2"/>
  <c r="L165" i="6" s="1"/>
  <c r="K128" i="2"/>
  <c r="M156" i="6" s="1"/>
  <c r="J128" i="2"/>
  <c r="L156" i="6" s="1"/>
  <c r="K39" i="2" l="1"/>
  <c r="M41" i="6" s="1"/>
  <c r="J39" i="2"/>
  <c r="H40" i="2" l="1"/>
  <c r="J42" i="6" s="1"/>
  <c r="L41" i="6"/>
  <c r="H89" i="2"/>
  <c r="K40" i="2" l="1"/>
  <c r="M42" i="6" s="1"/>
  <c r="J89" i="2"/>
  <c r="L107" i="6" s="1"/>
  <c r="J107" i="6"/>
  <c r="J40" i="2"/>
  <c r="L42" i="6" s="1"/>
  <c r="F123" i="2"/>
  <c r="K89" i="2"/>
  <c r="M107" i="6" s="1"/>
  <c r="H90" i="2" l="1"/>
  <c r="J108" i="6" s="1"/>
  <c r="E27" i="3"/>
  <c r="E30" i="3" s="1"/>
  <c r="G30" i="3" s="1"/>
  <c r="K121" i="2"/>
  <c r="J122" i="2"/>
  <c r="K90" i="2" l="1"/>
  <c r="M108" i="6" s="1"/>
  <c r="J90" i="2"/>
  <c r="L108" i="6" s="1"/>
  <c r="G27" i="3"/>
  <c r="J27" i="3" s="1"/>
  <c r="J30" i="3"/>
  <c r="E29" i="3"/>
  <c r="K122" i="2"/>
  <c r="I30" i="3" l="1"/>
  <c r="I27" i="3"/>
</calcChain>
</file>

<file path=xl/comments1.xml><?xml version="1.0" encoding="utf-8"?>
<comments xmlns="http://schemas.openxmlformats.org/spreadsheetml/2006/main">
  <authors>
    <author>mcea</author>
    <author>Nico</author>
    <author>DARROUY BASSANI, PAULETTE RENEE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N°467-24 Cuota imprevisto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Cierre de cuota 04-02-2024
Apertura Cuota 23-02-2024
Res Cierre cuota anual imprevistos N 107-2024: 16-04-2024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N° 273-24 Cede -1700 ton hacia ORIZON S.A. V-IX.
Res. Ex. N°1189-24 Cuota imprevisto</t>
        </r>
      </text>
    </comment>
    <comment ref="F16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1336-24: Modifica Res 34-24 Cuota de Imprevistos</t>
        </r>
      </text>
    </comment>
    <comment ref="K16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Ex: 147-2024: Apertura de cuota CERCOPESCA ROL 4276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757-24 cede 455,035 ton hacia ORIZON SA, V-IX</t>
        </r>
      </text>
    </comment>
    <comment ref="F18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Res. Ex. N°1052-24 Cuota imprevisto</t>
        </r>
      </text>
    </comment>
    <comment ref="K18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Previo cierre 22-03-2024
</t>
        </r>
      </text>
    </comment>
    <comment ref="F21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366-24 cede 6808,488 ton hacia SIPESUR SpA. V-IX
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519-24  cede 115,312 ton hacia SIPESUR SpA.V-IX.
Res 524-24 cede 1 ton hacia SIPESUR SpA. V-IX
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256-2024 cede 225 ton hacia ORIZON SA. V-IX. </t>
        </r>
      </text>
    </comment>
    <comment ref="F40" authorId="2" shapeId="0">
      <text>
        <r>
          <rPr>
            <b/>
            <sz val="9"/>
            <color indexed="81"/>
            <rFont val="Tahoma"/>
            <family val="2"/>
          </rPr>
          <t xml:space="preserve">DARROUY BASSANI, PAULETTE RENEE
</t>
        </r>
        <r>
          <rPr>
            <sz val="9"/>
            <color indexed="81"/>
            <rFont val="Tahoma"/>
            <family val="2"/>
          </rPr>
          <t>Res 549-24: cede 1000 ton hacia  ORIZON S.A. V-IX</t>
        </r>
      </text>
    </comment>
    <comment ref="F41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993-24: cede 5940 ton hacia SOCIEDAD PESQUERA LANDES  S.A. V-IX
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534-24 cede 1000 ton hacia ORIZON SA. V-IX</t>
        </r>
      </text>
    </comment>
    <comment ref="F43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510-24: Emb ceden 2771 ton de jurel hacia SIPESUR SpA. V-IX
Res 539-24: Emb ceden 389 ton de jurel hacia SOCIEDAD PESQUERA LANCES S.A. V-IX
</t>
        </r>
      </text>
    </comment>
    <comment ref="F44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369-24 cede 1549,779 ton hacia ORIZON SA. X </t>
        </r>
      </text>
    </comment>
    <comment ref="F46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634-24: cede 200 ton hacia ORIZON S.A. V-IX
</t>
        </r>
      </text>
    </comment>
  </commentList>
</comments>
</file>

<file path=xl/comments2.xml><?xml version="1.0" encoding="utf-8"?>
<comments xmlns="http://schemas.openxmlformats.org/spreadsheetml/2006/main">
  <authors>
    <author>DARROUY BASSANI, PAULETTE RENEE</author>
    <author>ZULETA ESPINOZA, GERALDINE</author>
    <author>Nico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DARROUY BASSANI, PAULETTE RENEE:
</t>
        </r>
        <r>
          <rPr>
            <sz val="9"/>
            <color indexed="81"/>
            <rFont val="Tahoma"/>
            <family val="2"/>
          </rPr>
          <t>Certificado N°2-24: Cede 5349,314 ton hacia CAMANCHACA PESCA SUR S.A. V-IX
Res 1192-24: Cede 5146,8 ton hacia CAMANCHACA S.A. XV-II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609-24: cede 150 ton hacia Emb. XV-II
Res 1192-24 Recibe  5146,8 ton desde CAMANCHACA PESCA SUR S.A. XV-II
Res. Ex. N°1291-24 Modifica Res. Ex. N°609-24 (Cede 50 ton hacia EMB)
Res 1435 cede 400ton hacia embarcaciones de ARICA Y PARINACOTA 
Res 1436 cede 150 ton hacia embarcaciones de ARICA Y PARINACOTA 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N°1069-24: cede 1000 ton hacia EMBARCACIONES II.
Res N°1068-24: cede 1000 ton hacia EMBARCACIONES II.</t>
        </r>
      </text>
    </comment>
    <comment ref="G12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N°1392-24 recibe 31,061 ton desde SINDICATO PESQUERO DEL NORTE SpA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354-24 cede 517,6755 ton hacia COMERCIAL Y CONSERVERA SAN LAZARO XV-II
Res 355-24 cede 690,234 ton hacia COMERCIAL Y CONSERVERA SAN LAZARO XV-II
Certificado N°12-2024: cede 3241,799 ton hacia FOODCORP CHILE S.A. V-IX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N°13-24: Cede 1121,630 ton hacia SOCIEDAD PESQUERA LANDES S.A. V-IX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724-24: cede 517,6755 ton hacia COMERCIAL Y CONSERVERA SAN LAZARO LIMITADA. XV-II
Res 725-24: cede 517,6755 ton hacia COMERCIAL Y CONSERVERA SAN LAZARO LIMITADA. XV-II
Res 726-24: cede 517,6755 ton hacia COMERCIAL Y CONSERVERA SAN LAZARO LIMITADA. XV-II
Certificado N°22-24 traspaso de 4715 ton hacia ORIZON V-IX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354-24. recibe 517,6755 ton desde FOODCORP CHILE SA. XV-II.
Res 355-24 recibe 690,234 ton desde FOODCORP CHILE SA. XV-II
Res 724-24: recibe 517,6755 ton desde ORIZON S.A. XV-II
Res 725-24: recibe 517,6755 ton desde ORIZON S.A. XV-II
Res 726-24: recibe 517,6755 ton desde ORIZON S.A. XV-II</t>
        </r>
      </text>
    </comment>
    <comment ref="G22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N°1392-24 Cede 31,061 ton hacia ESPACIO PESQUERO SpA</t>
        </r>
      </text>
    </comment>
    <comment ref="G31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N°17-2024: Traspaso de 2035  ton hacia ALIMENTOS MARINOS S.A. V-IX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219-24 Cede -5000 ton hacia Emb III-IV
.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N°18-2024: Traspaso de 1442,015  ton hacia CAMANCHACA PESCA SUR S.A. V-IX
Res 1193-24: cede 361,946 ton hacia CAMANCHACA  S.A./ Certificado N°25 modifica certificado N°18 modifica toneladas a 1440
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N°11-2024: cede 1160 ton hacia FOODCORP CHILE S.A. V-IX
Res N° 1185-24: recibe 291,32 ton desde COMERCIAL Y CONSERVERA SAN LAZARO LIMITADA. III-IV
Res N° 1184-24: recibe 291,32 ton desde COMERCIAL Y CONSERVERA SAN LAZARO LIMITADA. III-IV
Res N° 1186-24: recibe 291,32 ton desde COMERCIAL Y CONSERVERA SAN LAZARO LIMITADA. III-IV
Certificado N°29 traspaso de 1165,296 ton hacia FOODCORP CHILE S.A. V-IX
</t>
        </r>
      </text>
    </comment>
    <comment ref="G45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N°5-24: cede 0,486 ton hacia THOR FISHERIES CHILE SpA. III-IV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339-24  cede 235,6762606 ton hacia INVERSIONES PERQUERAS SpA. III- IV.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264-24 Cede -291,324 ton hacia COMERCIAL Y CONSERVERA SAN LAZARO LIMITADA III-IV.
Res 458-24 Cede -6487 ton hacia Emb IV.}
Res 727-24 Cede 291,32 ton hacia COMERCIAL Y CONSERVERA SAN LAZARO LIMITADA. III-IV
Res 728-24: Cede 291,32 ton hacia COMERCIAL Y CONSERVERA SAN LAZARO LIMITADA III-IV
Res 729-24: Cede 291,32 ton hacia COMERCIAL Y CONSERVERA SAN LAZARO LIMITADA III-IV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559-24 cede 650,623 ton hacia EMBARCACIÓN. III-IV
Res 1262-24: Recibe 235,676 ton desde INVESRIONES PESQUERAS SpA. III-IV.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339-24 recibe 235,6762606 ton desde NOVAMAR SpA. III-IV.
Res 1262-24: cede 235,676 ton hacia SIPESUR SpA. III-IV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264-24 Incremento de 291,324 ton desde ORIZON S.A. III-IV.
Res 727-24: Incremento de 291,32 ton desde ORIZON S.A. III-IV.
Res 728-24: Incremento de 291,32 ton desde ORIZON S.A. III-IV.
Res 729-24: Incremento de 291,32 ton desde ORIZON S.A.III-IV.
Res 1185-24: cede 291,32 ton hacia FOODCORP CHILE S.A. III-IV
Res 1184-24: cede 291,32 ton hacia FOODCORP CHILE S.A. III-IV
Res 1186-24: cede 291,32 ton hacia FOODCORP CHILE S.A. III-IV</t>
        </r>
      </text>
    </comment>
    <comment ref="G59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1193-24: recibe 361,946 ton desde CAMANCHACA PESCA SUR III-IV</t>
        </r>
      </text>
    </comment>
    <comment ref="G61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N°5-24: recibe 0,486 ton desde SOCIEDAD PESQUERA LANDES S.A. III-IV
</t>
        </r>
      </text>
    </comment>
    <comment ref="G69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17-24 traspaso de 2035 desde ALIMENTOS MARINOS S.A. III-IV
Certificado 19-24 traspaso de 6094 desde ALIMENTOS MARINOS S.A. III-IV</t>
        </r>
      </text>
    </comment>
    <comment ref="G7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1159-24: cede 52,0777 ton hacia SOCIEDAD PESQUERA GENMAR LIMITADA. V-IX
Res 1162-24: cede 78,1166 ton hacia PLANTARO INOSTROZA CONCHA. V-IX
Res 1433-24 cede 1680 ton hacia embarcaciones del BIOBIO
Res 1433-24 cede 1679 ton hacia embarcaciones del BIOBIO
Res N°1518-24 cede 3000 ton hacia embarcaciones de ATACAMA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540-24: recibe 1150,917 ton desde CAMANCHACA S.A. V-IX
Certificado N°2-24: Recibe 5349,314 ton desde CAMANCHACA PESCA SUR S.A. XV-II
Certificado N°18-2024: Recibe 1442,015 ton desde CAMANCHACA PESCA SUR S.A. III-IV/ certificado N°25 modifica en 1440 ton
Res 1191-24: cede 1232,523 ton hacia  CAMANCHACA S.A. V-IX
Certificado N°24-2024: Recibe 8407,586 ton desde CAMANCHACA PESCA SUR S.A. XIV-X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 Res 540-24: cede 1150,917 ton hacia CAMANCHACA PESCA SUR S.A. V-IX
Res 1191-24: recibe 1232,523 ton desde CAMANCHACA PESCA SUR  S.A. V-IX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353 cede 2343,497 ton hacia COMERCIAL Y CONSERVERA SAN LÁZARO LIMITADA. V-IX.
Certificado  N11-2024: recibe1160 ton desde FOODCORP CHILE S.A. III-IV.
Certificado N° 12-2024: recibe 3241,799 desde FOODCORP CHILE  S.A. XV-II
Certificado n°29-24 traspado de 1165,296 ton desde FOODCORP CHILE S.A. III-IV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539-24: Recibe 389 ton desde ASOGPESCA ANCUD. AG 4266. V-IX
Res 993-24: Recibe 5940 ton desde AGARMAR.  RAG 156-10. V-IX
Certificado N°6-24: cede 5,208 ton hacia THOR FISHERIES CHILE SpA. V-IX
Certificado N°13-24: Recibe 1121,630 ton desde SOCIEDAD PESQUERA LANDES S.A. XV-II
Certificado N° 16-24: Recibe 3377,096 ton desde SOCIEDAD PESQUERA LANDES S.A. XIV-X
Certificado N°20-24 modifica certificado N°16-24
</t>
        </r>
      </text>
    </comment>
    <comment ref="G91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N°1055-24: Cede 5,20777 ton hacia PACIFICBLU SpA. V-IX
</t>
        </r>
      </text>
    </comment>
    <comment ref="G93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287-24 Cede -2456,9217 ton hacia PESQUERA CENTRO SUR SpA V-IX.
Res 426-24 Cede -3755,531 ton hacia Emb V-IX
Res 702-24: Cede 2439,372 ton hacia LM INVERSIONES SpA. V-IX
Res 991-24: Cede  2439,372 ton hacia OPERACIONES SANSE SpA. V-IX
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281-24: cede 2439,372 ton hacia SIPESUR SpA. V-IX
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212-24 Cede -660 ton hacia EMBARCACIONES VIII.
Res 256-24 Recibe +225 ton desde STI Muelle Sud Americana. V.
Res 273-24 Recibe 1700 ton desde AG de Coquimbo RAG 55-4 IV.
Res 369-24  Recibe 1549,779 ton desde STI PECERCAL RSU 10.01.0948. V-IX
Res 534-24 Recibe 1000 ton desde PESCA AUSTRAL. RAG 326-10. V-IX
Res 549-24: Recibe 1000 ton desde ASOGFER AG. RAG 310-10. V-IX
Res 634-24 Recibe 200 ton desde STI PROVEEDORES MARITIMOS DE QUILLAIPE 10.01.083. V-IX
Res 723-24: Cede 2343,497 ton hacia COMERCIAL Y CONSERVERA SAN LAZARO LIMITADA. V-IX
Res 757-24 Recibe 455,035 ton desde STI ARMADORES CERQUEROS. RSU 04.04.0472. V-IX
Res 1109-2024 Cede 3300 ton hacia EMBARCACIONES VIII
Res 1209-24 Cede 100 ton hacia EMBARACIONES VIII
Res N°1384 Cede 4025 ton hacia EMBARCACIONES VIII
Certificado N°22-24 traspaso de 4715 ton recibe desde ORIZON XV-II</t>
        </r>
      </text>
    </comment>
    <comment ref="G9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 1055-24: Recibe 5,20777 ton desde SOCIEDAD PESQUERA NORDIOMAR SpA. V-IX
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366-24 recibe 6808,488 ton desde ASOCIACION GREMIAL DE ARMADORES ARTESANALES DEL PUERTO DE SAN ANTONIO, RAG N°2510. V-IX
Res 510-24 recibe 2771 ton desde ASOGPESCA ANCUD. AG 4266. X
Res 519-24 recibe 115,312 ton desde AG AGRAPES A.G 4399. V-IX
Res 524-24 recibe 1 ton desde AG AGRAPES A.G 4399. V-IX
Res 611-24: cede 505,153 ton hacia EMB II.
Res 281-24: recibe 2439,372 ton desde OPERACIONES BRAGA SpA. V-IX
Res 564-24: cede 1505,044 ton hacia EMB V-IX
Certificado 23-24 traspaso de 310,392 ton desde SIPESUR SpA XIV-IX
Res 1472-24 recibe 2439,372 ton desde OPERACIONES SANSE SpA</t>
        </r>
      </text>
    </comment>
    <comment ref="G105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N°6-24: recibe 5,208  ton desde SOCIEDAD PESQUERA LANDES S.A. V-IX</t>
        </r>
      </text>
    </comment>
    <comment ref="G107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287-24 Incremento de 2456,9217 ton desde NOVAMAR SpA V-IX.
Res 1035-24 Cede 2456,922 ton hacia EMBARCACIONES. V-IX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353-24 recibe 2343,497 ton desde FOODCORP CHILE SA. V-IX.
Res 723-24: recibe 2343,497 ton desde ORIZON S.A. V-IX.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702-24: recibe 2439,372 ton desde NOVAMAR SpA. V-IX
Res 902-24 cede 960,367 ton hacia Emb. V-IX
Res 903-24 cede 1479,005 ton hacia Emb.XV
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967-2024: cede 26,039 ton hacia EMB. V-IX
</t>
        </r>
      </text>
    </comment>
    <comment ref="G115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991-24: Recibe 2439,372 ton desde NOVAMAR SpA. V-IX
Res 1472-24 cede 2439,372 ton hacia SIPERSUR SpA</t>
        </r>
      </text>
    </comment>
    <comment ref="G117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 1159-24: Recibe 52,0777 ton desde BLUMAR S.A. V-IX</t>
        </r>
      </text>
    </comment>
    <comment ref="G11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N°1162-24: Recibe 78,1166 ton desde BLUMAR S.A. V-IX</t>
        </r>
      </text>
    </comment>
    <comment ref="G127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N°19-2024: Traspaso de 6094  ton hacia ALIMENTOS MARINOS S.A. V-IX</t>
        </r>
      </text>
    </comment>
    <comment ref="G131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 1160-24: cede 16,680 ton hacia SOCIEDAD PESQUERA GENMAR LIMITADA. XIV-X
Res N° 1161-24: cede 18,1305 ton hacia PELANTARO INOSTROZA CONCHA. XIV-X
Res N°1211-24: cede 3000 ton hacia EMB. III</t>
        </r>
      </text>
    </comment>
    <comment ref="G133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1194-24: cede 352 ton hacia CAMANCHACA S.A. XIV-X
Certificado N°24 traspaso hacia CAMANCHACA PESCA SUR S.A. V-IX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90-24: Cede -410,620 ton hacia SIPESUR SpA. XIV-X.</t>
        </r>
      </text>
    </comment>
    <comment ref="D137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0,0937476</t>
        </r>
      </text>
    </comment>
    <comment ref="F137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6118,899</t>
        </r>
      </text>
    </comment>
    <comment ref="G137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N° 1187-24: recibe 543,915 ton desde COMERCIAL Y CONSERVERA SAN LAZARO LIMITADA. XIV-X</t>
        </r>
      </text>
    </comment>
    <comment ref="F138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679,857</t>
        </r>
      </text>
    </comment>
    <comment ref="D13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0,0959625</t>
        </r>
      </text>
    </comment>
    <comment ref="G13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N°7-24: cede 1,450 ton hacia  THOR FISHERIES CHILE SpA. XIV-X
Certificado 16-24: cede 3377,096 ton hacia SOCIEDAD PESQUERA LANCES S.A. V-IX
Certificado 20-24: modifica certificado 16-24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 Res 873-24: cede 1125,781 ton hacia INVERSIONES GARO SpA. XIV-X</t>
        </r>
      </text>
    </comment>
    <comment ref="D14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0,3014704</t>
        </r>
      </text>
    </comment>
    <comment ref="F14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19676,973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731-24: Cede 652,698 ton hacia COMERCIAL Y CONSERVERA SAN LAZARON LIMITADA.XIV-X
Res 730-24: Cede 543,915 ton hacia COMERCIAL Y CONSERVERA SAN LAZARO LIMITADA. XIV-X
Res 732-24: Cede 625,698 ton hacia COMERCIAL Y CONSERVERA SAN LAZARO LIMITADA. XIV-X
Res 1063-24: Cede 5000 ton hacia EMB. IV
</t>
        </r>
      </text>
    </comment>
    <comment ref="F144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2186,263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0,012
</t>
        </r>
      </text>
    </comment>
    <comment ref="F149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783,24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89-24 Cede -435,132 ton hacia SIPESUR SpA XIV-X.
Res 91-24 Cede 435,132 ton hacia SIPESUR SpA XIV-X
Res 92-24 Cede 435,132 ton hacia SIPESUR SpA XIV-X</t>
        </r>
      </text>
    </comment>
    <comment ref="F150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antiguo 87,024</t>
        </r>
      </text>
    </comment>
    <comment ref="G151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89-24 Recibe 435,132 ton desde PROCESOS TECNOLOGICOS DEL BIO BIO SpA XIV-X.
Res 90-24: Recibe 410,620 ton desde DELTA INVERSIONES SpA. XIV-X.
Res 91-24 SIPESUR SpA recibe 435,132 ton desde PROCESOS TECNOLOGICOS DEL BIO BIO SpA.  XIV-X.
Res 92-24  recibe 435,132 ton desde PROCESOS TECNOLOGICOS EL BIOBIO SpA XIV-X
Res 560-24 cede 3159,552 ton hacia EMBARCACIONES . XIV-X
Certificado N°23-24 traspaso de 310,392 ton HACIA SIPESUR SpA V-IX
Res N°1473-24 recibe 1125,781 ton desde INVERSIONES GARO SpA
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731-24: Incremento de 652,698  ton desde ORIZON S.A. XIV-X
Res 730-24: Incremento de 543,915 ton desde ORIZON S.A. XIV-X
Res 732-24: Incremento de 625,698 ton desde ORIZON S.A. XIV-X
Res 1187-2024 cede 543,915 ton hacia FOODCORP CHILE S.A XIV-X
</t>
        </r>
      </text>
    </comment>
    <comment ref="G157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Certificado N°7-24: recibe1,450 ton desde SOCIEDAD PESQUERA LANDES S.A. XIV-X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873-24: recibe 1125,781 ton desde  NOVAMAR SpA. XIV-X
Res 1473-24: cede 1125,781 ton hacia SIPERSUR SpA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Res1160-24: Recibe 16,680 ton desde BLUMAR S.A. XIV-X
</t>
        </r>
      </text>
    </comment>
    <comment ref="G163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 1194-24: recibe 352 ton desde CAMANCHACA PESCA SUR. XIV-X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1161-24: recibe 18,1305 ton desde BLUMAR S.A. XIV-X
</t>
        </r>
      </text>
    </comment>
  </commentList>
</comments>
</file>

<file path=xl/comments3.xml><?xml version="1.0" encoding="utf-8"?>
<comments xmlns="http://schemas.openxmlformats.org/spreadsheetml/2006/main">
  <authors>
    <author>DARROUY BASSANI, PAULETTE RENEE</author>
    <author>mcea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Res. Ex. N°860-24 Modifica Res. Ex. N°458-24</t>
        </r>
      </text>
    </comment>
    <comment ref="B110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Res. Ex. N°1291-24 Modifica Res. Ex. N°609-24</t>
        </r>
      </text>
    </comment>
    <comment ref="B114" authorId="1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N°845-24 Modifica Res. Ex. N°611-24</t>
        </r>
      </text>
    </comment>
    <comment ref="B16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Ex N°1241-24 Modifica Res 1063-24
</t>
        </r>
      </text>
    </comment>
  </commentList>
</comments>
</file>

<file path=xl/sharedStrings.xml><?xml version="1.0" encoding="utf-8"?>
<sst xmlns="http://schemas.openxmlformats.org/spreadsheetml/2006/main" count="11544" uniqueCount="482">
  <si>
    <t>II</t>
  </si>
  <si>
    <t>III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</si>
  <si>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</si>
  <si>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</si>
  <si>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</si>
  <si>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</si>
  <si>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</si>
  <si>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</si>
  <si>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</si>
  <si>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</si>
  <si>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</si>
  <si>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</si>
  <si>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</si>
  <si>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</si>
  <si>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XV-II</t>
  </si>
  <si>
    <t>III-X</t>
  </si>
  <si>
    <t>XV-X</t>
  </si>
  <si>
    <t>X</t>
  </si>
  <si>
    <t>Industrial</t>
  </si>
  <si>
    <t>V-IX</t>
  </si>
  <si>
    <t>Artesanal</t>
  </si>
  <si>
    <t>XIV-X</t>
  </si>
  <si>
    <t>VII</t>
  </si>
  <si>
    <t>VIII-XVI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</si>
  <si>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</si>
  <si>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</si>
  <si>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</si>
  <si>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</si>
  <si>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</si>
  <si>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</si>
  <si>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</si>
  <si>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</si>
  <si>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</si>
  <si>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</si>
  <si>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</si>
  <si>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</si>
  <si>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</si>
  <si>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</si>
  <si>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</si>
  <si>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</si>
  <si>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</si>
  <si>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MACROZONA</t>
  </si>
  <si>
    <t>REGION</t>
  </si>
  <si>
    <t xml:space="preserve">JUREL III-IV  </t>
  </si>
  <si>
    <t xml:space="preserve">III-IV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</si>
  <si>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</si>
  <si>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</si>
  <si>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</si>
  <si>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</si>
  <si>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</si>
  <si>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</si>
  <si>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</si>
  <si>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</si>
  <si>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</si>
  <si>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</si>
  <si>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</si>
  <si>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-</t>
  </si>
  <si>
    <t>RPA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</si>
  <si>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</si>
  <si>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</si>
  <si>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</si>
  <si>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</si>
  <si>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</si>
  <si>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</si>
  <si>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t>% CONSUMIDO</t>
  </si>
  <si>
    <t>NAVE(S) AUTORIZADA(S)</t>
  </si>
  <si>
    <t>año</t>
  </si>
  <si>
    <t>mensaje</t>
  </si>
  <si>
    <t>TOTAL</t>
  </si>
  <si>
    <t>INFORMACIÓN PRELIMINAR</t>
  </si>
  <si>
    <t>STI PECERCAL RSU 10.01.0948</t>
  </si>
  <si>
    <t>captura</t>
  </si>
  <si>
    <t>CESIONES INDIVIDUALES</t>
  </si>
  <si>
    <t>ARTESANAL VIII-XVI</t>
  </si>
  <si>
    <t>CONTROL CUOTA  PESCA DE INVESTIGACIÓN</t>
  </si>
  <si>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</si>
  <si>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</si>
  <si>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</si>
  <si>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</si>
  <si>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</si>
  <si>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</si>
  <si>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</si>
  <si>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ARTESANAL</t>
  </si>
  <si>
    <t>INDUSTRIAL</t>
  </si>
  <si>
    <t>LINEA DE MANO</t>
  </si>
  <si>
    <t>IMPREVISTO</t>
  </si>
  <si>
    <t>INVESTIGACION</t>
  </si>
  <si>
    <t>CONSUMO HUMANO</t>
  </si>
  <si>
    <t>FUERA DE UNIDAD DE PESQUERIA</t>
  </si>
  <si>
    <t>ARTESANAL XV-I</t>
  </si>
  <si>
    <t>ARTESANAL III</t>
  </si>
  <si>
    <t>ARTESANAL IV</t>
  </si>
  <si>
    <t>ARTESANAL V</t>
  </si>
  <si>
    <t>ARTESANAL X</t>
  </si>
  <si>
    <t>INDUSTRIAL XV-II</t>
  </si>
  <si>
    <t>INDUSTRIAL V-IX</t>
  </si>
  <si>
    <t>INDUSTRIAL III-IV</t>
  </si>
  <si>
    <t>INDUSTRIAL XIV-X</t>
  </si>
  <si>
    <t>UNIDAD DE PESQUERIA</t>
  </si>
  <si>
    <t>JUREL XV-X</t>
  </si>
  <si>
    <t>ASIGNATARIO</t>
  </si>
  <si>
    <t>PERIODO</t>
  </si>
  <si>
    <t xml:space="preserve">XV-I REGION ARICA Y PARINACOTA y TARAPACA </t>
  </si>
  <si>
    <t>II REGION DE ANTOFAGASTA</t>
  </si>
  <si>
    <t>III REGION DE ATACAMA</t>
  </si>
  <si>
    <t>IV REGION DE COQUIMBO</t>
  </si>
  <si>
    <t>V REGION DE VALPARAISO</t>
  </si>
  <si>
    <t xml:space="preserve">VI REGION DE O'HIGGINS </t>
  </si>
  <si>
    <t>VII REGION DEL MAULE</t>
  </si>
  <si>
    <t>VIII REGION DEL BIOBIO- XVI REGION DEL ÑUBLE</t>
  </si>
  <si>
    <t>IX REGION DE LA ARAUCANIA</t>
  </si>
  <si>
    <t>XIV REGION DE LOS RIOS</t>
  </si>
  <si>
    <t>X REGION DE LOS LAGOS</t>
  </si>
  <si>
    <t>MACROZONA XV-I</t>
  </si>
  <si>
    <t>II REGION</t>
  </si>
  <si>
    <t>FAUNA ACOMPAÑANTE</t>
  </si>
  <si>
    <t>III REGION</t>
  </si>
  <si>
    <t>VI REGION</t>
  </si>
  <si>
    <t>VII REGION</t>
  </si>
  <si>
    <t>VIII-XVI REGION</t>
  </si>
  <si>
    <t>IX REGION</t>
  </si>
  <si>
    <t>XIV REGION</t>
  </si>
  <si>
    <t>FAUNA ACOMPAÑANTE III-X</t>
  </si>
  <si>
    <t>CUOTA LINEA DE MANO</t>
  </si>
  <si>
    <t>TITULAR DE CUOTA LTP</t>
  </si>
  <si>
    <t>JUREL XV-II</t>
  </si>
  <si>
    <t>JUREL III-IV</t>
  </si>
  <si>
    <t>CONTROL CUOTA  CONSUMO HUMANO 2021</t>
  </si>
  <si>
    <t>RECURSO</t>
  </si>
  <si>
    <t>EMPRESA</t>
  </si>
  <si>
    <t>N° RESOLUCION</t>
  </si>
  <si>
    <t>ESPECIE</t>
  </si>
  <si>
    <t>% COSUMIDO</t>
  </si>
  <si>
    <t>FECHA DE CIERRE</t>
  </si>
  <si>
    <t>EMBARCACION</t>
  </si>
  <si>
    <t>CUOTA (TON)</t>
  </si>
  <si>
    <t>TOTAL CAPTURA (TON)</t>
  </si>
  <si>
    <t>CUOTA TRANSFERIDA (TON)</t>
  </si>
  <si>
    <t>JUREL XI-XII</t>
  </si>
  <si>
    <t>STI DE PESCADORES MONTEMAR RSU 05.04.0117</t>
  </si>
  <si>
    <t xml:space="preserve">CONTROL CUOTA  FUERA UNIDAD DE PESQUERÍA XI-XII </t>
  </si>
  <si>
    <t>FAUNA ACOMPAÑANTE XV-II</t>
  </si>
  <si>
    <t xml:space="preserve"> </t>
  </si>
  <si>
    <t>COEFICIENTE</t>
  </si>
  <si>
    <t>ARTESANAL II</t>
  </si>
  <si>
    <t>ENE-DIC</t>
  </si>
  <si>
    <t>CAMANCHACA PESCA SUR S.A.</t>
  </si>
  <si>
    <t>CAMANCHACA S.A.</t>
  </si>
  <si>
    <t>CORPESCA S.A.</t>
  </si>
  <si>
    <t>ESPACIO PESQUERO SpA</t>
  </si>
  <si>
    <t>FOODCORP CHILE S.A.</t>
  </si>
  <si>
    <t>LANDES S.A. SOC. PESQ.</t>
  </si>
  <si>
    <t>ORIZON S.A.</t>
  </si>
  <si>
    <t>SINDICATO PESQUERO DEL NORTE SpA</t>
  </si>
  <si>
    <t>ALIMENTOS MARINOS S.A.</t>
  </si>
  <si>
    <t>ARICA SEAFOOD PRODUCER S.A.</t>
  </si>
  <si>
    <t>BAHIA CALDERA S.A. PESQ.</t>
  </si>
  <si>
    <t>BLUMAR S.A.</t>
  </si>
  <si>
    <t>ISLADAMAS S.A. PESQ.</t>
  </si>
  <si>
    <t>LITORAL SPA PESQ.</t>
  </si>
  <si>
    <t>NOVAMAR SpA</t>
  </si>
  <si>
    <t>THOR FISHERIES CHILE SPA.</t>
  </si>
  <si>
    <t>ANTONIO CRUZ CORDOVA NAKOUZI E.I.R.L.</t>
  </si>
  <si>
    <t>ISLA QUIHUA S.A. PESQ.</t>
  </si>
  <si>
    <t>MJF LIMITADA PESQ.</t>
  </si>
  <si>
    <t>PACIFICBLU SpA</t>
  </si>
  <si>
    <t>SUR AUSTRAL S.A. PESQ.</t>
  </si>
  <si>
    <t>III-IV</t>
  </si>
  <si>
    <t>Detalle Negocios</t>
  </si>
  <si>
    <t>N° doc</t>
  </si>
  <si>
    <t>Fecha</t>
  </si>
  <si>
    <t>DE -</t>
  </si>
  <si>
    <t>A+</t>
  </si>
  <si>
    <t>Coeficiente</t>
  </si>
  <si>
    <t>Total</t>
  </si>
  <si>
    <t>LOTA PROTEIN S.A.</t>
  </si>
  <si>
    <t xml:space="preserve">LOTE </t>
  </si>
  <si>
    <t xml:space="preserve">PORCENTAJE </t>
  </si>
  <si>
    <t>RESUMEN CONSUMO HUMANO</t>
  </si>
  <si>
    <t>ORGANIZACIÓN</t>
  </si>
  <si>
    <t>GENMAR LTDA SOC PESQ</t>
  </si>
  <si>
    <t>5 ENE- 31 DIC</t>
  </si>
  <si>
    <t>5 ENE- 31DIC</t>
  </si>
  <si>
    <r>
      <t>5 ENE- 31</t>
    </r>
    <r>
      <rPr>
        <b/>
        <sz val="9"/>
        <color theme="1"/>
        <rFont val="Calibri"/>
        <family val="2"/>
        <scheme val="minor"/>
      </rPr>
      <t xml:space="preserve"> DIC</t>
    </r>
  </si>
  <si>
    <t>WQ ENERGY SpA</t>
  </si>
  <si>
    <t xml:space="preserve">CONTROL CUOTA GLOBAL JUREL AÑO 2024                                                                                                                                                                                </t>
  </si>
  <si>
    <t xml:space="preserve">CONTROL CUOTA JUREL FRACCIÓN ARTESANAL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</si>
  <si>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DTO. EXENTO N° </t>
  </si>
  <si>
    <t xml:space="preserve">CONTROL CUOTA JUREL FRACCION INDUSTRIAL  2024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</si>
  <si>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CONTROL CUOTAS JUREL OROP-PS  2024</t>
  </si>
  <si>
    <t>CESIONES INDIVIDUALES AÑO 2024</t>
  </si>
  <si>
    <t>CONTROL CUOTA CONSUMO HUMANO 2024</t>
  </si>
  <si>
    <t>Ene-Sep</t>
  </si>
  <si>
    <t>Oct-Dic</t>
  </si>
  <si>
    <t>ST PUERTO MONTT. RSU 10.01.05.91</t>
  </si>
  <si>
    <t>SIPESUR SpA</t>
  </si>
  <si>
    <t>NORDIOMAR SPA SOC. PESQ.</t>
  </si>
  <si>
    <t>NOVAMAR SPA</t>
  </si>
  <si>
    <t>OPERACIONES BRAGA SPA</t>
  </si>
  <si>
    <t>SIPESUR SPA</t>
  </si>
  <si>
    <t>THOR FISHERIES CHILE SPA</t>
  </si>
  <si>
    <t>DELTA INVERSIONES SpA</t>
  </si>
  <si>
    <t>POBLETE ARAVENA ADRIANA</t>
  </si>
  <si>
    <t>PROCESOS TECNOLOGICOS DEL BIO BIO SpA</t>
  </si>
  <si>
    <t>STI ARMADORES CERQUEROS. RSU 04.04.0472</t>
  </si>
  <si>
    <t>Bio Bio</t>
  </si>
  <si>
    <t>La Victoria</t>
  </si>
  <si>
    <t>Chango</t>
  </si>
  <si>
    <t>Herminia I</t>
  </si>
  <si>
    <t>Azariel</t>
  </si>
  <si>
    <t>Antares V</t>
  </si>
  <si>
    <t>Carlos Emilio</t>
  </si>
  <si>
    <t>Don Ricardo II</t>
  </si>
  <si>
    <t>Master I</t>
  </si>
  <si>
    <t>Marvento</t>
  </si>
  <si>
    <t>Don Basilio</t>
  </si>
  <si>
    <t>Reymar I</t>
  </si>
  <si>
    <t>Don Benito II</t>
  </si>
  <si>
    <t>Don Atilio</t>
  </si>
  <si>
    <t>Daniela Andrea I</t>
  </si>
  <si>
    <t>Margarita del Mar</t>
  </si>
  <si>
    <t>Sea Quest</t>
  </si>
  <si>
    <t>El Cid</t>
  </si>
  <si>
    <t>Xolot</t>
  </si>
  <si>
    <t>Maimau I</t>
  </si>
  <si>
    <t>Kali</t>
  </si>
  <si>
    <t>Tom Jerry</t>
  </si>
  <si>
    <t>Don Pancracio</t>
  </si>
  <si>
    <t>Lonquimay 2</t>
  </si>
  <si>
    <t>Mar Primero</t>
  </si>
  <si>
    <t>Candelaria II</t>
  </si>
  <si>
    <t>Chubasco I</t>
  </si>
  <si>
    <t>Don Marcial</t>
  </si>
  <si>
    <t>Estrella III</t>
  </si>
  <si>
    <t>Nataly</t>
  </si>
  <si>
    <t>Guillermo I</t>
  </si>
  <si>
    <t>Fortuna I</t>
  </si>
  <si>
    <t>Sion</t>
  </si>
  <si>
    <t>Yuliana Antonella</t>
  </si>
  <si>
    <t>Don Jose Miguel</t>
  </si>
  <si>
    <t>Sofia Magdalena</t>
  </si>
  <si>
    <t>Don Jose Edgardo</t>
  </si>
  <si>
    <t>Fortuna V</t>
  </si>
  <si>
    <t>Fortuna VI</t>
  </si>
  <si>
    <t>Virgo</t>
  </si>
  <si>
    <t>Raquel I</t>
  </si>
  <si>
    <t>Fortuna IV</t>
  </si>
  <si>
    <t>Distribuidora de productos del mar INCOMAR limitada</t>
  </si>
  <si>
    <t>Operaciones Costeras SpA</t>
  </si>
  <si>
    <t xml:space="preserve">Alimentos Alsan Limitada </t>
  </si>
  <si>
    <t xml:space="preserve">Total </t>
  </si>
  <si>
    <t>Del Sur S.A.</t>
  </si>
  <si>
    <t xml:space="preserve">TOTALES  </t>
  </si>
  <si>
    <t>COMERCIAL Y CONSERVERA SAN LAZARO LIMITADA</t>
  </si>
  <si>
    <t>PESQUERA CENTRO SUR SpA</t>
  </si>
  <si>
    <t>INVERSIONES PESQUERAS SpA</t>
  </si>
  <si>
    <t>FOODCORP CHILE S.A</t>
  </si>
  <si>
    <t>Don Beto IV</t>
  </si>
  <si>
    <t>bayron David I</t>
  </si>
  <si>
    <t>Camila Antonella 1</t>
  </si>
  <si>
    <t>Camila Antonella 2</t>
  </si>
  <si>
    <t>Mar de Bering</t>
  </si>
  <si>
    <t>Constanza M I</t>
  </si>
  <si>
    <t>Don Beto V</t>
  </si>
  <si>
    <t>Don Omar</t>
  </si>
  <si>
    <t>Papi Jose</t>
  </si>
  <si>
    <t>Veronica Alejandra</t>
  </si>
  <si>
    <t>Chita I</t>
  </si>
  <si>
    <t>Claudio II</t>
  </si>
  <si>
    <t>Catalina M</t>
  </si>
  <si>
    <t>Johana II</t>
  </si>
  <si>
    <t>Don enri II</t>
  </si>
  <si>
    <t>Don Luis Alberto II</t>
  </si>
  <si>
    <t>Mauricio Ignacio II</t>
  </si>
  <si>
    <t>Florina I</t>
  </si>
  <si>
    <t>Don Lucho III</t>
  </si>
  <si>
    <t>Paola III</t>
  </si>
  <si>
    <t>Gianluca</t>
  </si>
  <si>
    <t>Gianpiero I</t>
  </si>
  <si>
    <t>Gaviota I</t>
  </si>
  <si>
    <t>Susana II</t>
  </si>
  <si>
    <t>Renata</t>
  </si>
  <si>
    <t>Sixto Abraham</t>
  </si>
  <si>
    <t>Sra Marioly</t>
  </si>
  <si>
    <t>Vivicita I</t>
  </si>
  <si>
    <t>Don Milo</t>
  </si>
  <si>
    <t>Doña Bernarda</t>
  </si>
  <si>
    <t>Green Peace</t>
  </si>
  <si>
    <t>El Bellaco I</t>
  </si>
  <si>
    <t>Delfin 2000</t>
  </si>
  <si>
    <t xml:space="preserve">El Bellaco </t>
  </si>
  <si>
    <t>Atenea II</t>
  </si>
  <si>
    <t>Sebastian II</t>
  </si>
  <si>
    <t>Garota III</t>
  </si>
  <si>
    <t>Maria Soledad II</t>
  </si>
  <si>
    <t>Don Victorino</t>
  </si>
  <si>
    <t>Centauro</t>
  </si>
  <si>
    <t>Doña Adriana</t>
  </si>
  <si>
    <t>Pa.ke.te.pikay</t>
  </si>
  <si>
    <t>Los Arias</t>
  </si>
  <si>
    <t>Kiwi</t>
  </si>
  <si>
    <t>Kalejo</t>
  </si>
  <si>
    <t>El Reno</t>
  </si>
  <si>
    <t>Atlantico III</t>
  </si>
  <si>
    <t>Garota</t>
  </si>
  <si>
    <t>Garota V</t>
  </si>
  <si>
    <t>Garota II</t>
  </si>
  <si>
    <t>Garota IV</t>
  </si>
  <si>
    <t>Michelle</t>
  </si>
  <si>
    <t>Sta Veronica II</t>
  </si>
  <si>
    <t>Don Perucho II</t>
  </si>
  <si>
    <t>Doña Olga I</t>
  </si>
  <si>
    <t>Jepe I</t>
  </si>
  <si>
    <t>Zeus I</t>
  </si>
  <si>
    <t>Venus</t>
  </si>
  <si>
    <t>CAMANCHACA S.A</t>
  </si>
  <si>
    <t>CAMANCHACA PESCA SUR S.A</t>
  </si>
  <si>
    <t>Carolina I</t>
  </si>
  <si>
    <t>Abdon I</t>
  </si>
  <si>
    <t>Don Mauricio I</t>
  </si>
  <si>
    <t>Catalina Q</t>
  </si>
  <si>
    <t>OPERACIONES BRAGA SpA</t>
  </si>
  <si>
    <t>Camila Antonnella 1</t>
  </si>
  <si>
    <t>Adriana IX</t>
  </si>
  <si>
    <t>Bayron David I</t>
  </si>
  <si>
    <t>Josue</t>
  </si>
  <si>
    <t>Fernanda I</t>
  </si>
  <si>
    <t>Valentina</t>
  </si>
  <si>
    <t>Andreas</t>
  </si>
  <si>
    <t>Niña Ximena</t>
  </si>
  <si>
    <t>LM INVERSIONES SpA.</t>
  </si>
  <si>
    <t>LM INVERSIONES SpA</t>
  </si>
  <si>
    <t>Santiago G</t>
  </si>
  <si>
    <t>Haylen Carolina</t>
  </si>
  <si>
    <t>Don Marino I</t>
  </si>
  <si>
    <t>INVERSIONES GARO SpA</t>
  </si>
  <si>
    <t>Victor Guillermo</t>
  </si>
  <si>
    <t>OPERACIONES SANSE SpA</t>
  </si>
  <si>
    <t>OPERACIONES SANSE SPA</t>
  </si>
  <si>
    <t>VENTISQUERO</t>
  </si>
  <si>
    <t>LIDER</t>
  </si>
  <si>
    <t>VESTERVEG</t>
  </si>
  <si>
    <t>LONCO</t>
  </si>
  <si>
    <t>DON JULIO</t>
  </si>
  <si>
    <t>SAN JOSE</t>
  </si>
  <si>
    <t>RUTH</t>
  </si>
  <si>
    <t>DON MANUEL</t>
  </si>
  <si>
    <t>CAZADOR</t>
  </si>
  <si>
    <t>Pancho malo</t>
  </si>
  <si>
    <t>El Bellaco</t>
  </si>
  <si>
    <t>Santa Norma</t>
  </si>
  <si>
    <t>Garota VII</t>
  </si>
  <si>
    <t>Garota VI</t>
  </si>
  <si>
    <t>Jennifer I</t>
  </si>
  <si>
    <t>SOCIEDAD PESQUERA NORDIOMAR SpA</t>
  </si>
  <si>
    <t>PACIFICBLUE SpA</t>
  </si>
  <si>
    <t>Arleth Antonia</t>
  </si>
  <si>
    <t>Giovanna Priscilla IV</t>
  </si>
  <si>
    <t>Maria Elena</t>
  </si>
  <si>
    <t>Moises</t>
  </si>
  <si>
    <t>Sgto Moran</t>
  </si>
  <si>
    <t>Javiera Selmira I</t>
  </si>
  <si>
    <t>Julieta Ignacia</t>
  </si>
  <si>
    <t>Sra Graciela</t>
  </si>
  <si>
    <t>Don Luis</t>
  </si>
  <si>
    <t>Sra Marioly 1</t>
  </si>
  <si>
    <t>La Angelita</t>
  </si>
  <si>
    <t>Don Joaquin III</t>
  </si>
  <si>
    <t>El Tesoro</t>
  </si>
  <si>
    <t>Pionero</t>
  </si>
  <si>
    <t>Socoroma</t>
  </si>
  <si>
    <t>Don Miguel</t>
  </si>
  <si>
    <t>Trinquete</t>
  </si>
  <si>
    <t>Edi</t>
  </si>
  <si>
    <t>Don Nino I</t>
  </si>
  <si>
    <t>Don Nino II</t>
  </si>
  <si>
    <t>Don Andres II</t>
  </si>
  <si>
    <t>Mary Paz II</t>
  </si>
  <si>
    <t>Doña Mercedes II</t>
  </si>
  <si>
    <t>Olguita I</t>
  </si>
  <si>
    <t>Doña Edi</t>
  </si>
  <si>
    <t>Doña Sabina</t>
  </si>
  <si>
    <t>Josefa II</t>
  </si>
  <si>
    <t>Jose Albino</t>
  </si>
  <si>
    <t>Don Rafa</t>
  </si>
  <si>
    <t>SOCIEDAD PESQUERA LANDES S.A.</t>
  </si>
  <si>
    <t>DON BORIS</t>
  </si>
  <si>
    <t>DON TITO</t>
  </si>
  <si>
    <t>CORAL I</t>
  </si>
  <si>
    <t>DON ALFONSO</t>
  </si>
  <si>
    <t>DON EDMUNDO</t>
  </si>
  <si>
    <t>COBRA</t>
  </si>
  <si>
    <t>RAPANUI</t>
  </si>
  <si>
    <t>YELCHO</t>
  </si>
  <si>
    <t>Master Segundo</t>
  </si>
  <si>
    <t>Don Coquera II</t>
  </si>
  <si>
    <t>Achernar</t>
  </si>
  <si>
    <t>Tata Conco</t>
  </si>
  <si>
    <t>Carmen Loreto</t>
  </si>
  <si>
    <t>Doña Margarita C</t>
  </si>
  <si>
    <t>Don Bruno</t>
  </si>
  <si>
    <t>Don Emilio IV</t>
  </si>
  <si>
    <t xml:space="preserve">Azariel </t>
  </si>
  <si>
    <t>Doña Jova 2da</t>
  </si>
  <si>
    <t>Don Valentin</t>
  </si>
  <si>
    <t>Tamarugal</t>
  </si>
  <si>
    <t>Esturion</t>
  </si>
  <si>
    <t>Rimalfredan II</t>
  </si>
  <si>
    <t>Abraham Antonio I</t>
  </si>
  <si>
    <t>Juan Marcelo</t>
  </si>
  <si>
    <t>Abraham Antonio</t>
  </si>
  <si>
    <t>Capello</t>
  </si>
  <si>
    <t>Raul M</t>
  </si>
  <si>
    <t>Punta Verde I</t>
  </si>
  <si>
    <t>Glaciar I</t>
  </si>
  <si>
    <t>Huracan I</t>
  </si>
  <si>
    <t>BUCANERO I</t>
  </si>
  <si>
    <t>CORSARIO I</t>
  </si>
  <si>
    <t>MARÍA JOSÉ</t>
  </si>
  <si>
    <t>PEHUENCO</t>
  </si>
  <si>
    <t>PELICANO</t>
  </si>
  <si>
    <t>ALBIMER</t>
  </si>
  <si>
    <t>CLAUDIA ALEJANDRA</t>
  </si>
  <si>
    <t>COLLEN</t>
  </si>
  <si>
    <t>ATACAMA IV</t>
  </si>
  <si>
    <t>COSTA GRANDE 1</t>
  </si>
  <si>
    <t>LICANTEN</t>
  </si>
  <si>
    <t>SOCIEDAD PESQUERA GENMAR LIMITADA</t>
  </si>
  <si>
    <t>PELANTARO INOSTROZA CONCHA</t>
  </si>
  <si>
    <t xml:space="preserve">FOODCORP CHILE S.A. </t>
  </si>
  <si>
    <t xml:space="preserve">Adriana </t>
  </si>
  <si>
    <t>MARIA JOSE</t>
  </si>
  <si>
    <t>THOR FISHERIES CHILE SpA.</t>
  </si>
  <si>
    <t>SANTA MARIA II</t>
  </si>
  <si>
    <t xml:space="preserve">CORAL I </t>
  </si>
  <si>
    <t>Camila Antonia</t>
  </si>
  <si>
    <t>+</t>
  </si>
  <si>
    <t xml:space="preserve">N° resolucion </t>
  </si>
  <si>
    <t>N°</t>
  </si>
  <si>
    <t>CERTIFICADO</t>
  </si>
  <si>
    <t>Quimera</t>
  </si>
  <si>
    <t xml:space="preserve">Abraham Antonio </t>
  </si>
  <si>
    <t>Adriana</t>
  </si>
  <si>
    <t>Maria Trinidad</t>
  </si>
  <si>
    <t>Josue Segundo</t>
  </si>
  <si>
    <t>Maria Isabel</t>
  </si>
  <si>
    <t>Mateo Emiliano</t>
  </si>
  <si>
    <t>Don Nene II</t>
  </si>
  <si>
    <t>Adriana X</t>
  </si>
  <si>
    <t xml:space="preserve">Mami Melly </t>
  </si>
  <si>
    <t>Don Ismael</t>
  </si>
  <si>
    <t>Enzo Nicolas I</t>
  </si>
  <si>
    <t>Don Luis D</t>
  </si>
  <si>
    <t xml:space="preserve">Cristian Antonia </t>
  </si>
  <si>
    <t>Rodrigo I</t>
  </si>
  <si>
    <t>Don Bosco</t>
  </si>
  <si>
    <t>Agustina F</t>
  </si>
  <si>
    <t>Lonquimay</t>
  </si>
  <si>
    <t>Chumingo</t>
  </si>
  <si>
    <t>Lago Ranco</t>
  </si>
  <si>
    <t>Don Juaquin II</t>
  </si>
  <si>
    <t>Toconao</t>
  </si>
  <si>
    <t>Yenny</t>
  </si>
  <si>
    <t>Jorge Andres</t>
  </si>
  <si>
    <t xml:space="preserve">Canaan </t>
  </si>
  <si>
    <t xml:space="preserve">Don Jaime </t>
  </si>
  <si>
    <t>Alaska I</t>
  </si>
  <si>
    <t>Don Juan I</t>
  </si>
  <si>
    <t>Jerusalen I</t>
  </si>
  <si>
    <t>Nebraska</t>
  </si>
  <si>
    <t>Marco Polo</t>
  </si>
  <si>
    <t xml:space="preserve">Carla Agustin </t>
  </si>
  <si>
    <t>Don Juan C</t>
  </si>
  <si>
    <t>=</t>
  </si>
  <si>
    <t xml:space="preserve">Camila Antonia </t>
  </si>
  <si>
    <t>845/611</t>
  </si>
  <si>
    <t xml:space="preserve">El Cid </t>
  </si>
  <si>
    <t>Sion I</t>
  </si>
  <si>
    <t>fortuna V</t>
  </si>
  <si>
    <t>Don Salomon</t>
  </si>
  <si>
    <t>Doña Maritzen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</si>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</sst>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  <numFmt numFmtId="173" formatCode="0.0000000"/>
    <numFmt numFmtId="174" formatCode="0.0"/>
    <numFmt numFmtId="175" formatCode="0.00000"/>
    <numFmt numFmtId="176" formatCode="0.000000"/>
    <numFmt numFmtId="177" formatCode="0.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D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995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ABFC6"/>
        <bgColor indexed="64"/>
      </patternFill>
    </fill>
    <fill>
      <patternFill patternType="solid">
        <fgColor rgb="FFDCF3D7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1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5" fillId="0" borderId="0"/>
    <xf numFmtId="41" fontId="1" fillId="0" borderId="0" applyFont="0" applyFill="0" applyBorder="0" applyAlignment="0" applyProtection="0"/>
  </cellStyleXfs>
  <cellXfs count="626">
    <xf numFmtId="0" fontId="0" fillId="0" borderId="0" xfId="0"/>
    <xf numFmtId="0" fontId="0" fillId="0" borderId="10" xfId="0" applyBorder="1" applyAlignment="1">
      <alignment horizontal="center" vertical="center"/>
    </xf>
    <xf numFmtId="0" fontId="22" fillId="0" borderId="10" xfId="42112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69" fontId="47" fillId="0" borderId="0" xfId="0" applyNumberFormat="1" applyFont="1" applyAlignment="1">
      <alignment horizontal="center" vertical="center"/>
    </xf>
    <xf numFmtId="168" fontId="47" fillId="0" borderId="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69" fontId="47" fillId="0" borderId="0" xfId="0" applyNumberFormat="1" applyFont="1"/>
    <xf numFmtId="168" fontId="47" fillId="0" borderId="0" xfId="1" applyNumberFormat="1" applyFont="1" applyFill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2" fillId="0" borderId="12" xfId="4211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0" fontId="47" fillId="60" borderId="0" xfId="0" applyFont="1" applyFill="1"/>
    <xf numFmtId="169" fontId="51" fillId="0" borderId="0" xfId="0" applyNumberFormat="1" applyFont="1" applyAlignment="1">
      <alignment vertical="center" wrapText="1"/>
    </xf>
    <xf numFmtId="169" fontId="47" fillId="0" borderId="39" xfId="0" applyNumberFormat="1" applyFont="1" applyBorder="1" applyAlignment="1">
      <alignment horizontal="center" vertical="center"/>
    </xf>
    <xf numFmtId="168" fontId="47" fillId="0" borderId="39" xfId="1" applyNumberFormat="1" applyFont="1" applyFill="1" applyBorder="1" applyAlignment="1">
      <alignment horizontal="center" vertical="center"/>
    </xf>
    <xf numFmtId="0" fontId="48" fillId="0" borderId="48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69" fontId="47" fillId="0" borderId="35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/>
    </xf>
    <xf numFmtId="169" fontId="47" fillId="0" borderId="51" xfId="0" applyNumberFormat="1" applyFont="1" applyBorder="1" applyAlignment="1">
      <alignment horizontal="center" vertical="center"/>
    </xf>
    <xf numFmtId="168" fontId="47" fillId="0" borderId="51" xfId="1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22" fillId="0" borderId="55" xfId="42112" applyFont="1" applyBorder="1" applyAlignment="1">
      <alignment horizontal="center" vertical="center"/>
    </xf>
    <xf numFmtId="169" fontId="0" fillId="0" borderId="55" xfId="0" applyNumberFormat="1" applyBorder="1" applyAlignment="1">
      <alignment horizontal="center" vertical="center"/>
    </xf>
    <xf numFmtId="170" fontId="0" fillId="0" borderId="55" xfId="0" applyNumberForma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62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center"/>
    </xf>
    <xf numFmtId="169" fontId="56" fillId="0" borderId="10" xfId="0" applyNumberFormat="1" applyFont="1" applyBorder="1" applyAlignment="1">
      <alignment horizontal="center" vertical="center"/>
    </xf>
    <xf numFmtId="10" fontId="53" fillId="0" borderId="10" xfId="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169" fontId="53" fillId="0" borderId="0" xfId="0" applyNumberFormat="1" applyFont="1" applyAlignment="1">
      <alignment horizontal="center" vertical="center"/>
    </xf>
    <xf numFmtId="168" fontId="53" fillId="0" borderId="0" xfId="1" applyNumberFormat="1" applyFont="1" applyFill="1" applyBorder="1" applyAlignment="1">
      <alignment horizontal="center" vertical="center"/>
    </xf>
    <xf numFmtId="169" fontId="56" fillId="0" borderId="0" xfId="0" applyNumberFormat="1" applyFont="1" applyAlignment="1">
      <alignment horizontal="center" vertical="center"/>
    </xf>
    <xf numFmtId="10" fontId="53" fillId="0" borderId="0" xfId="1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9" fontId="53" fillId="0" borderId="24" xfId="0" applyNumberFormat="1" applyFont="1" applyBorder="1" applyAlignment="1">
      <alignment horizontal="center" vertical="center"/>
    </xf>
    <xf numFmtId="169" fontId="53" fillId="0" borderId="25" xfId="0" applyNumberFormat="1" applyFont="1" applyBorder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 wrapText="1"/>
    </xf>
    <xf numFmtId="169" fontId="54" fillId="0" borderId="0" xfId="0" applyNumberFormat="1" applyFont="1" applyAlignment="1">
      <alignment horizontal="center" vertical="center"/>
    </xf>
    <xf numFmtId="168" fontId="54" fillId="0" borderId="0" xfId="1" applyNumberFormat="1" applyFont="1" applyFill="1" applyBorder="1" applyAlignment="1">
      <alignment horizontal="center" vertical="center"/>
    </xf>
    <xf numFmtId="169" fontId="55" fillId="0" borderId="0" xfId="0" applyNumberFormat="1" applyFont="1" applyAlignment="1">
      <alignment horizontal="center" vertical="center"/>
    </xf>
    <xf numFmtId="10" fontId="54" fillId="0" borderId="0" xfId="1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16" fillId="67" borderId="43" xfId="0" applyFont="1" applyFill="1" applyBorder="1" applyAlignment="1">
      <alignment horizontal="center" vertical="center"/>
    </xf>
    <xf numFmtId="0" fontId="16" fillId="67" borderId="22" xfId="0" applyFont="1" applyFill="1" applyBorder="1" applyAlignment="1">
      <alignment horizontal="center" vertical="center"/>
    </xf>
    <xf numFmtId="0" fontId="16" fillId="67" borderId="32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2" fillId="62" borderId="10" xfId="0" applyFont="1" applyFill="1" applyBorder="1" applyAlignment="1">
      <alignment horizontal="center" vertical="center"/>
    </xf>
    <xf numFmtId="2" fontId="52" fillId="62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9" fontId="57" fillId="0" borderId="0" xfId="0" applyNumberFormat="1" applyFont="1" applyAlignment="1">
      <alignment horizontal="center" vertical="center"/>
    </xf>
    <xf numFmtId="9" fontId="57" fillId="0" borderId="0" xfId="0" applyNumberFormat="1" applyFont="1" applyAlignment="1">
      <alignment horizontal="center" vertical="center"/>
    </xf>
    <xf numFmtId="0" fontId="52" fillId="62" borderId="41" xfId="0" applyFont="1" applyFill="1" applyBorder="1" applyAlignment="1">
      <alignment horizontal="center" vertical="center"/>
    </xf>
    <xf numFmtId="0" fontId="52" fillId="62" borderId="42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169" fontId="57" fillId="0" borderId="34" xfId="0" applyNumberFormat="1" applyFont="1" applyBorder="1" applyAlignment="1">
      <alignment horizontal="center" vertical="center"/>
    </xf>
    <xf numFmtId="9" fontId="57" fillId="0" borderId="46" xfId="0" applyNumberFormat="1" applyFont="1" applyBorder="1" applyAlignment="1">
      <alignment horizontal="center" vertical="center"/>
    </xf>
    <xf numFmtId="169" fontId="16" fillId="0" borderId="10" xfId="0" applyNumberFormat="1" applyFont="1" applyBorder="1" applyAlignment="1">
      <alignment horizontal="center" vertical="center"/>
    </xf>
    <xf numFmtId="0" fontId="16" fillId="6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6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58" fillId="0" borderId="0" xfId="0" applyFont="1"/>
    <xf numFmtId="2" fontId="16" fillId="58" borderId="10" xfId="0" applyNumberFormat="1" applyFont="1" applyFill="1" applyBorder="1" applyAlignment="1">
      <alignment horizontal="center" vertical="center"/>
    </xf>
    <xf numFmtId="0" fontId="0" fillId="59" borderId="10" xfId="0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69" fontId="16" fillId="0" borderId="12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6" fillId="62" borderId="30" xfId="0" applyFont="1" applyFill="1" applyBorder="1" applyAlignment="1">
      <alignment horizontal="center" vertical="center"/>
    </xf>
    <xf numFmtId="0" fontId="16" fillId="62" borderId="10" xfId="0" applyFont="1" applyFill="1" applyBorder="1" applyAlignment="1">
      <alignment horizontal="center" vertical="center" wrapText="1"/>
    </xf>
    <xf numFmtId="0" fontId="48" fillId="6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65" borderId="49" xfId="0" applyFont="1" applyFill="1" applyBorder="1" applyAlignment="1">
      <alignment vertical="center"/>
    </xf>
    <xf numFmtId="0" fontId="16" fillId="65" borderId="39" xfId="0" applyFont="1" applyFill="1" applyBorder="1" applyAlignment="1">
      <alignment vertical="center"/>
    </xf>
    <xf numFmtId="0" fontId="16" fillId="65" borderId="56" xfId="0" applyFont="1" applyFill="1" applyBorder="1" applyAlignment="1">
      <alignment vertical="center"/>
    </xf>
    <xf numFmtId="0" fontId="16" fillId="65" borderId="40" xfId="0" applyFont="1" applyFill="1" applyBorder="1" applyAlignment="1">
      <alignment vertical="center"/>
    </xf>
    <xf numFmtId="0" fontId="16" fillId="65" borderId="47" xfId="0" applyFont="1" applyFill="1" applyBorder="1" applyAlignment="1">
      <alignment vertical="center"/>
    </xf>
    <xf numFmtId="2" fontId="16" fillId="65" borderId="34" xfId="0" applyNumberFormat="1" applyFont="1" applyFill="1" applyBorder="1" applyAlignment="1">
      <alignment vertical="center"/>
    </xf>
    <xf numFmtId="1" fontId="16" fillId="65" borderId="34" xfId="0" applyNumberFormat="1" applyFont="1" applyFill="1" applyBorder="1" applyAlignment="1">
      <alignment vertical="center"/>
    </xf>
    <xf numFmtId="1" fontId="16" fillId="65" borderId="57" xfId="0" applyNumberFormat="1" applyFont="1" applyFill="1" applyBorder="1" applyAlignment="1">
      <alignment vertical="center"/>
    </xf>
    <xf numFmtId="1" fontId="16" fillId="65" borderId="46" xfId="0" applyNumberFormat="1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169" fontId="0" fillId="65" borderId="0" xfId="0" applyNumberForma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169" fontId="48" fillId="70" borderId="39" xfId="0" applyNumberFormat="1" applyFont="1" applyFill="1" applyBorder="1" applyAlignment="1">
      <alignment horizontal="center" vertical="center"/>
    </xf>
    <xf numFmtId="169" fontId="48" fillId="70" borderId="51" xfId="0" applyNumberFormat="1" applyFont="1" applyFill="1" applyBorder="1" applyAlignment="1">
      <alignment horizontal="center" vertical="center"/>
    </xf>
    <xf numFmtId="169" fontId="48" fillId="0" borderId="0" xfId="0" applyNumberFormat="1" applyFont="1" applyAlignment="1">
      <alignment horizontal="center" vertical="center"/>
    </xf>
    <xf numFmtId="169" fontId="48" fillId="59" borderId="0" xfId="0" applyNumberFormat="1" applyFont="1" applyFill="1" applyAlignment="1">
      <alignment horizontal="center" vertical="center"/>
    </xf>
    <xf numFmtId="9" fontId="47" fillId="0" borderId="0" xfId="0" applyNumberFormat="1" applyFont="1" applyAlignment="1">
      <alignment horizontal="center" vertical="center"/>
    </xf>
    <xf numFmtId="0" fontId="48" fillId="0" borderId="49" xfId="0" applyFont="1" applyBorder="1" applyAlignment="1">
      <alignment horizontal="center" vertical="center" wrapText="1"/>
    </xf>
    <xf numFmtId="10" fontId="47" fillId="0" borderId="10" xfId="1" applyNumberFormat="1" applyFont="1" applyFill="1" applyBorder="1" applyAlignment="1">
      <alignment horizontal="center" vertical="center"/>
    </xf>
    <xf numFmtId="169" fontId="47" fillId="0" borderId="34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169" fontId="47" fillId="0" borderId="10" xfId="0" applyNumberFormat="1" applyFont="1" applyBorder="1" applyAlignment="1">
      <alignment horizontal="center" vertical="center"/>
    </xf>
    <xf numFmtId="0" fontId="48" fillId="62" borderId="10" xfId="0" applyFont="1" applyFill="1" applyBorder="1" applyAlignment="1">
      <alignment horizontal="center" vertical="center"/>
    </xf>
    <xf numFmtId="0" fontId="48" fillId="67" borderId="0" xfId="0" applyFont="1" applyFill="1" applyAlignment="1">
      <alignment horizontal="center" vertical="center" wrapText="1"/>
    </xf>
    <xf numFmtId="0" fontId="48" fillId="67" borderId="25" xfId="0" applyFont="1" applyFill="1" applyBorder="1" applyAlignment="1">
      <alignment horizontal="center" vertical="center" wrapText="1"/>
    </xf>
    <xf numFmtId="0" fontId="50" fillId="67" borderId="25" xfId="0" applyFont="1" applyFill="1" applyBorder="1" applyAlignment="1">
      <alignment horizontal="center" vertical="center" wrapText="1"/>
    </xf>
    <xf numFmtId="0" fontId="48" fillId="67" borderId="63" xfId="0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 wrapText="1"/>
    </xf>
    <xf numFmtId="168" fontId="47" fillId="0" borderId="56" xfId="1" applyNumberFormat="1" applyFont="1" applyFill="1" applyBorder="1" applyAlignment="1">
      <alignment horizontal="center" vertical="center"/>
    </xf>
    <xf numFmtId="0" fontId="48" fillId="56" borderId="44" xfId="0" applyFont="1" applyFill="1" applyBorder="1" applyAlignment="1">
      <alignment horizontal="center" vertical="center" wrapText="1"/>
    </xf>
    <xf numFmtId="0" fontId="48" fillId="56" borderId="4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4" fontId="0" fillId="0" borderId="67" xfId="0" applyNumberFormat="1" applyBorder="1" applyAlignment="1">
      <alignment horizontal="center" vertical="center"/>
    </xf>
    <xf numFmtId="0" fontId="22" fillId="0" borderId="68" xfId="42112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169" fontId="0" fillId="0" borderId="68" xfId="0" applyNumberFormat="1" applyBorder="1" applyAlignment="1">
      <alignment horizontal="center" vertical="center"/>
    </xf>
    <xf numFmtId="170" fontId="0" fillId="0" borderId="68" xfId="0" applyNumberFormat="1" applyBorder="1" applyAlignment="1">
      <alignment horizontal="center" vertical="center"/>
    </xf>
    <xf numFmtId="169" fontId="0" fillId="0" borderId="54" xfId="0" applyNumberFormat="1" applyBorder="1" applyAlignment="1">
      <alignment horizontal="center" vertical="center"/>
    </xf>
    <xf numFmtId="170" fontId="0" fillId="0" borderId="54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" fontId="47" fillId="0" borderId="0" xfId="0" applyNumberFormat="1" applyFont="1"/>
    <xf numFmtId="0" fontId="54" fillId="0" borderId="22" xfId="0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69" fontId="54" fillId="71" borderId="10" xfId="0" applyNumberFormat="1" applyFont="1" applyFill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0" fontId="54" fillId="71" borderId="10" xfId="0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169" fontId="54" fillId="59" borderId="10" xfId="0" applyNumberFormat="1" applyFont="1" applyFill="1" applyBorder="1" applyAlignment="1">
      <alignment horizontal="center" vertical="center"/>
    </xf>
    <xf numFmtId="169" fontId="48" fillId="70" borderId="10" xfId="0" applyNumberFormat="1" applyFont="1" applyFill="1" applyBorder="1" applyAlignment="1">
      <alignment horizontal="center" vertical="center"/>
    </xf>
    <xf numFmtId="168" fontId="53" fillId="0" borderId="10" xfId="1" applyNumberFormat="1" applyFont="1" applyFill="1" applyBorder="1" applyAlignment="1">
      <alignment horizontal="center" vertical="center"/>
    </xf>
    <xf numFmtId="168" fontId="54" fillId="0" borderId="10" xfId="1" applyNumberFormat="1" applyFont="1" applyFill="1" applyBorder="1" applyAlignment="1">
      <alignment horizontal="center" vertical="center"/>
    </xf>
    <xf numFmtId="169" fontId="53" fillId="0" borderId="12" xfId="0" applyNumberFormat="1" applyFont="1" applyBorder="1" applyAlignment="1">
      <alignment horizontal="center" vertical="center"/>
    </xf>
    <xf numFmtId="168" fontId="53" fillId="0" borderId="12" xfId="1" applyNumberFormat="1" applyFont="1" applyFill="1" applyBorder="1" applyAlignment="1">
      <alignment horizontal="center" vertical="center"/>
    </xf>
    <xf numFmtId="168" fontId="54" fillId="71" borderId="10" xfId="1" applyNumberFormat="1" applyFont="1" applyFill="1" applyBorder="1" applyAlignment="1">
      <alignment horizontal="center" vertical="center"/>
    </xf>
    <xf numFmtId="168" fontId="54" fillId="59" borderId="10" xfId="1" applyNumberFormat="1" applyFont="1" applyFill="1" applyBorder="1" applyAlignment="1">
      <alignment horizontal="center" vertical="center"/>
    </xf>
    <xf numFmtId="168" fontId="54" fillId="0" borderId="22" xfId="1" applyNumberFormat="1" applyFont="1" applyFill="1" applyBorder="1" applyAlignment="1">
      <alignment horizontal="center" vertical="center"/>
    </xf>
    <xf numFmtId="169" fontId="53" fillId="0" borderId="30" xfId="0" applyNumberFormat="1" applyFont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14" fontId="0" fillId="68" borderId="10" xfId="0" applyNumberFormat="1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 wrapText="1"/>
    </xf>
    <xf numFmtId="169" fontId="0" fillId="68" borderId="10" xfId="0" applyNumberFormat="1" applyFill="1" applyBorder="1" applyAlignment="1">
      <alignment horizontal="center" vertical="center"/>
    </xf>
    <xf numFmtId="0" fontId="16" fillId="62" borderId="49" xfId="0" applyFont="1" applyFill="1" applyBorder="1" applyAlignment="1">
      <alignment horizontal="center" vertical="center"/>
    </xf>
    <xf numFmtId="0" fontId="16" fillId="62" borderId="39" xfId="0" applyFont="1" applyFill="1" applyBorder="1" applyAlignment="1">
      <alignment horizontal="center" vertical="center"/>
    </xf>
    <xf numFmtId="0" fontId="16" fillId="62" borderId="64" xfId="0" applyFont="1" applyFill="1" applyBorder="1" applyAlignment="1">
      <alignment horizontal="center" vertical="center"/>
    </xf>
    <xf numFmtId="0" fontId="16" fillId="62" borderId="40" xfId="0" applyFont="1" applyFill="1" applyBorder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4" fontId="46" fillId="0" borderId="22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47" fillId="0" borderId="10" xfId="1" applyNumberFormat="1" applyFont="1" applyFill="1" applyBorder="1" applyAlignment="1">
      <alignment horizontal="center" vertical="center"/>
    </xf>
    <xf numFmtId="169" fontId="47" fillId="0" borderId="30" xfId="0" applyNumberFormat="1" applyFont="1" applyBorder="1" applyAlignment="1">
      <alignment horizontal="center" vertical="center"/>
    </xf>
    <xf numFmtId="177" fontId="47" fillId="0" borderId="3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9" fontId="47" fillId="0" borderId="10" xfId="1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169" fontId="57" fillId="0" borderId="10" xfId="0" applyNumberFormat="1" applyFont="1" applyBorder="1" applyAlignment="1">
      <alignment horizontal="center" vertical="center"/>
    </xf>
    <xf numFmtId="9" fontId="57" fillId="0" borderId="10" xfId="1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9" fontId="57" fillId="0" borderId="34" xfId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9" fontId="18" fillId="0" borderId="10" xfId="948" applyNumberFormat="1" applyFill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9" fontId="16" fillId="0" borderId="34" xfId="1" applyFont="1" applyBorder="1" applyAlignment="1">
      <alignment horizontal="center" vertical="center"/>
    </xf>
    <xf numFmtId="169" fontId="16" fillId="0" borderId="34" xfId="0" applyNumberFormat="1" applyFont="1" applyBorder="1" applyAlignment="1">
      <alignment horizontal="center" vertical="center"/>
    </xf>
    <xf numFmtId="169" fontId="16" fillId="70" borderId="34" xfId="0" applyNumberFormat="1" applyFont="1" applyFill="1" applyBorder="1" applyAlignment="1">
      <alignment horizontal="center" vertical="center"/>
    </xf>
    <xf numFmtId="172" fontId="16" fillId="0" borderId="34" xfId="0" applyNumberFormat="1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9" fontId="0" fillId="72" borderId="10" xfId="0" applyNumberFormat="1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14" fontId="0" fillId="73" borderId="10" xfId="0" applyNumberFormat="1" applyFill="1" applyBorder="1" applyAlignment="1">
      <alignment horizontal="center" vertical="center"/>
    </xf>
    <xf numFmtId="170" fontId="0" fillId="73" borderId="12" xfId="0" applyNumberFormat="1" applyFill="1" applyBorder="1" applyAlignment="1">
      <alignment horizontal="center" vertical="center"/>
    </xf>
    <xf numFmtId="169" fontId="0" fillId="73" borderId="10" xfId="0" applyNumberFormat="1" applyFill="1" applyBorder="1" applyAlignment="1">
      <alignment horizontal="center" vertical="center"/>
    </xf>
    <xf numFmtId="175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9" fontId="54" fillId="0" borderId="10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0" fillId="0" borderId="10" xfId="1" applyFon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169" fontId="47" fillId="0" borderId="0" xfId="0" applyNumberFormat="1" applyFont="1" applyBorder="1" applyAlignment="1">
      <alignment horizontal="center" vertical="center"/>
    </xf>
    <xf numFmtId="0" fontId="48" fillId="61" borderId="34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69" fontId="48" fillId="70" borderId="3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168" fontId="47" fillId="0" borderId="72" xfId="1" applyNumberFormat="1" applyFont="1" applyFill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172" fontId="47" fillId="0" borderId="72" xfId="1" applyNumberFormat="1" applyFont="1" applyFill="1" applyBorder="1" applyAlignment="1">
      <alignment horizontal="center" vertical="center"/>
    </xf>
    <xf numFmtId="168" fontId="47" fillId="0" borderId="29" xfId="1" applyNumberFormat="1" applyFont="1" applyFill="1" applyBorder="1" applyAlignment="1">
      <alignment horizontal="center" vertical="center"/>
    </xf>
    <xf numFmtId="168" fontId="47" fillId="0" borderId="57" xfId="1" applyNumberFormat="1" applyFont="1" applyFill="1" applyBorder="1" applyAlignment="1">
      <alignment horizontal="center" vertical="center"/>
    </xf>
    <xf numFmtId="9" fontId="46" fillId="0" borderId="22" xfId="1" applyNumberFormat="1" applyFont="1" applyFill="1" applyBorder="1" applyAlignment="1">
      <alignment horizontal="center" vertical="center"/>
    </xf>
    <xf numFmtId="9" fontId="0" fillId="0" borderId="10" xfId="1" applyNumberFormat="1" applyFont="1" applyFill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0" fillId="0" borderId="55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9" fontId="0" fillId="0" borderId="68" xfId="1" applyNumberFormat="1" applyFont="1" applyFill="1" applyBorder="1" applyAlignment="1">
      <alignment horizontal="center" vertical="center"/>
    </xf>
    <xf numFmtId="9" fontId="0" fillId="0" borderId="12" xfId="1" applyNumberFormat="1" applyFont="1" applyFill="1" applyBorder="1" applyAlignment="1">
      <alignment horizontal="center" vertical="center"/>
    </xf>
    <xf numFmtId="9" fontId="0" fillId="0" borderId="54" xfId="1" applyNumberFormat="1" applyFont="1" applyBorder="1" applyAlignment="1">
      <alignment horizontal="center" vertical="center"/>
    </xf>
    <xf numFmtId="9" fontId="0" fillId="0" borderId="34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7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55" borderId="39" xfId="0" applyFont="1" applyFill="1" applyBorder="1" applyAlignment="1">
      <alignment horizontal="center" vertical="center"/>
    </xf>
    <xf numFmtId="0" fontId="48" fillId="55" borderId="10" xfId="0" applyFont="1" applyFill="1" applyBorder="1" applyAlignment="1">
      <alignment horizontal="center" vertical="center"/>
    </xf>
    <xf numFmtId="0" fontId="48" fillId="55" borderId="34" xfId="0" applyFont="1" applyFill="1" applyBorder="1" applyAlignment="1">
      <alignment horizontal="center" vertical="center"/>
    </xf>
    <xf numFmtId="0" fontId="48" fillId="61" borderId="39" xfId="0" applyFont="1" applyFill="1" applyBorder="1" applyAlignment="1">
      <alignment horizontal="center" vertical="center"/>
    </xf>
    <xf numFmtId="0" fontId="48" fillId="61" borderId="10" xfId="0" applyFont="1" applyFill="1" applyBorder="1" applyAlignment="1">
      <alignment horizontal="center" vertical="center"/>
    </xf>
    <xf numFmtId="0" fontId="48" fillId="59" borderId="0" xfId="0" applyFont="1" applyFill="1" applyAlignment="1">
      <alignment horizontal="center" vertical="center"/>
    </xf>
    <xf numFmtId="0" fontId="48" fillId="60" borderId="0" xfId="0" applyFont="1" applyFill="1"/>
    <xf numFmtId="14" fontId="47" fillId="59" borderId="10" xfId="0" applyNumberFormat="1" applyFont="1" applyFill="1" applyBorder="1" applyAlignment="1">
      <alignment horizontal="center" vertical="center"/>
    </xf>
    <xf numFmtId="169" fontId="0" fillId="59" borderId="12" xfId="0" applyNumberFormat="1" applyFill="1" applyBorder="1" applyAlignment="1">
      <alignment horizontal="center" vertical="center"/>
    </xf>
    <xf numFmtId="9" fontId="0" fillId="59" borderId="12" xfId="1" applyNumberFormat="1" applyFont="1" applyFill="1" applyBorder="1" applyAlignment="1">
      <alignment horizontal="center" vertical="center"/>
    </xf>
    <xf numFmtId="14" fontId="0" fillId="59" borderId="12" xfId="0" applyNumberFormat="1" applyFill="1" applyBorder="1" applyAlignment="1">
      <alignment horizontal="center" vertical="center"/>
    </xf>
    <xf numFmtId="170" fontId="0" fillId="59" borderId="12" xfId="0" applyNumberFormat="1" applyFill="1" applyBorder="1" applyAlignment="1">
      <alignment horizontal="center" vertical="center"/>
    </xf>
    <xf numFmtId="0" fontId="0" fillId="59" borderId="12" xfId="0" applyFill="1" applyBorder="1" applyAlignment="1">
      <alignment horizontal="center" vertical="center"/>
    </xf>
    <xf numFmtId="169" fontId="0" fillId="59" borderId="10" xfId="0" applyNumberFormat="1" applyFill="1" applyBorder="1" applyAlignment="1">
      <alignment horizontal="center" vertical="center"/>
    </xf>
    <xf numFmtId="9" fontId="0" fillId="59" borderId="10" xfId="1" applyNumberFormat="1" applyFont="1" applyFill="1" applyBorder="1" applyAlignment="1">
      <alignment horizontal="center" vertical="center"/>
    </xf>
    <xf numFmtId="9" fontId="0" fillId="59" borderId="12" xfId="42113" applyNumberFormat="1" applyFont="1" applyFill="1" applyBorder="1" applyAlignment="1">
      <alignment horizontal="center" vertical="center"/>
    </xf>
    <xf numFmtId="0" fontId="22" fillId="59" borderId="12" xfId="42112" applyFont="1" applyFill="1" applyBorder="1" applyAlignment="1">
      <alignment horizontal="center" vertical="center"/>
    </xf>
    <xf numFmtId="14" fontId="0" fillId="59" borderId="10" xfId="0" applyNumberFormat="1" applyFill="1" applyBorder="1" applyAlignment="1">
      <alignment horizontal="center" vertical="center"/>
    </xf>
    <xf numFmtId="0" fontId="0" fillId="59" borderId="0" xfId="0" applyFill="1" applyAlignment="1">
      <alignment horizontal="center" vertical="center"/>
    </xf>
    <xf numFmtId="9" fontId="0" fillId="59" borderId="12" xfId="0" applyNumberFormat="1" applyFill="1" applyBorder="1" applyAlignment="1">
      <alignment horizontal="center" vertical="center"/>
    </xf>
    <xf numFmtId="175" fontId="54" fillId="59" borderId="10" xfId="0" applyNumberFormat="1" applyFont="1" applyFill="1" applyBorder="1" applyAlignment="1">
      <alignment horizontal="center" vertical="center"/>
    </xf>
    <xf numFmtId="169" fontId="54" fillId="59" borderId="10" xfId="0" applyNumberFormat="1" applyFont="1" applyFill="1" applyBorder="1" applyAlignment="1">
      <alignment horizontal="center" vertical="center"/>
    </xf>
    <xf numFmtId="0" fontId="54" fillId="59" borderId="0" xfId="0" applyFont="1" applyFill="1" applyAlignment="1">
      <alignment vertical="center"/>
    </xf>
    <xf numFmtId="169" fontId="54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2" xfId="42112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9" fontId="0" fillId="0" borderId="22" xfId="1" applyNumberFormat="1" applyFon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69" fontId="0" fillId="73" borderId="22" xfId="0" applyNumberFormat="1" applyFill="1" applyBorder="1" applyAlignment="1">
      <alignment horizontal="center" vertical="center"/>
    </xf>
    <xf numFmtId="0" fontId="22" fillId="73" borderId="22" xfId="42112" applyFont="1" applyFill="1" applyBorder="1" applyAlignment="1">
      <alignment horizontal="center" vertical="center"/>
    </xf>
    <xf numFmtId="0" fontId="0" fillId="73" borderId="22" xfId="0" applyFill="1" applyBorder="1" applyAlignment="1">
      <alignment horizontal="center" vertical="center"/>
    </xf>
    <xf numFmtId="14" fontId="0" fillId="73" borderId="22" xfId="0" applyNumberForma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62" borderId="22" xfId="0" applyFont="1" applyFill="1" applyBorder="1" applyAlignment="1">
      <alignment horizontal="center" vertical="center" wrapText="1"/>
    </xf>
    <xf numFmtId="0" fontId="48" fillId="62" borderId="22" xfId="0" applyFont="1" applyFill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69" fontId="53" fillId="0" borderId="10" xfId="0" applyNumberFormat="1" applyFont="1" applyFill="1" applyBorder="1" applyAlignment="1">
      <alignment horizontal="center" vertical="center"/>
    </xf>
    <xf numFmtId="169" fontId="53" fillId="0" borderId="0" xfId="0" applyNumberFormat="1" applyFont="1" applyFill="1" applyAlignment="1">
      <alignment horizontal="center" vertical="center"/>
    </xf>
    <xf numFmtId="169" fontId="53" fillId="0" borderId="12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Alignment="1">
      <alignment horizontal="center" vertical="center"/>
    </xf>
    <xf numFmtId="169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2" fillId="0" borderId="12" xfId="42112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70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22" fillId="0" borderId="67" xfId="42112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4" fontId="0" fillId="0" borderId="67" xfId="0" applyNumberFormat="1" applyFill="1" applyBorder="1" applyAlignment="1">
      <alignment horizontal="center" vertical="center"/>
    </xf>
    <xf numFmtId="169" fontId="0" fillId="0" borderId="67" xfId="0" applyNumberFormat="1" applyFill="1" applyBorder="1" applyAlignment="1">
      <alignment horizontal="center" vertical="center"/>
    </xf>
    <xf numFmtId="9" fontId="0" fillId="0" borderId="67" xfId="1" applyNumberFormat="1" applyFont="1" applyFill="1" applyBorder="1" applyAlignment="1">
      <alignment horizontal="center" vertical="center"/>
    </xf>
    <xf numFmtId="170" fontId="0" fillId="0" borderId="67" xfId="0" applyNumberFormat="1" applyFill="1" applyBorder="1" applyAlignment="1">
      <alignment horizontal="center" vertical="center"/>
    </xf>
    <xf numFmtId="170" fontId="0" fillId="73" borderId="22" xfId="0" applyNumberFormat="1" applyFill="1" applyBorder="1" applyAlignment="1">
      <alignment horizontal="center" vertical="center"/>
    </xf>
    <xf numFmtId="0" fontId="22" fillId="70" borderId="22" xfId="42112" applyFont="1" applyFill="1" applyBorder="1" applyAlignment="1">
      <alignment horizontal="center" vertical="center"/>
    </xf>
    <xf numFmtId="0" fontId="0" fillId="70" borderId="22" xfId="0" applyFill="1" applyBorder="1" applyAlignment="1">
      <alignment horizontal="center" vertical="center"/>
    </xf>
    <xf numFmtId="0" fontId="0" fillId="70" borderId="10" xfId="0" applyFill="1" applyBorder="1" applyAlignment="1">
      <alignment horizontal="center" vertical="center"/>
    </xf>
    <xf numFmtId="14" fontId="0" fillId="70" borderId="10" xfId="0" applyNumberFormat="1" applyFill="1" applyBorder="1" applyAlignment="1">
      <alignment horizontal="center" vertical="center"/>
    </xf>
    <xf numFmtId="169" fontId="0" fillId="70" borderId="10" xfId="0" applyNumberFormat="1" applyFill="1" applyBorder="1" applyAlignment="1">
      <alignment horizontal="center" vertical="center"/>
    </xf>
    <xf numFmtId="14" fontId="0" fillId="70" borderId="22" xfId="0" applyNumberFormat="1" applyFill="1" applyBorder="1" applyAlignment="1">
      <alignment horizontal="center" vertical="center"/>
    </xf>
    <xf numFmtId="170" fontId="0" fillId="70" borderId="12" xfId="0" applyNumberFormat="1" applyFill="1" applyBorder="1" applyAlignment="1">
      <alignment horizontal="center" vertical="center"/>
    </xf>
    <xf numFmtId="169" fontId="0" fillId="70" borderId="22" xfId="0" applyNumberFormat="1" applyFill="1" applyBorder="1" applyAlignment="1">
      <alignment horizontal="center" vertical="center"/>
    </xf>
    <xf numFmtId="170" fontId="0" fillId="70" borderId="22" xfId="0" applyNumberFormat="1" applyFill="1" applyBorder="1" applyAlignment="1">
      <alignment horizontal="center" vertical="center"/>
    </xf>
    <xf numFmtId="0" fontId="22" fillId="0" borderId="22" xfId="42112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170" fontId="0" fillId="0" borderId="22" xfId="0" applyNumberForma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169" fontId="54" fillId="0" borderId="12" xfId="0" applyNumberFormat="1" applyFont="1" applyFill="1" applyBorder="1" applyAlignment="1">
      <alignment horizontal="center" vertical="center"/>
    </xf>
    <xf numFmtId="175" fontId="54" fillId="0" borderId="0" xfId="0" applyNumberFormat="1" applyFont="1" applyAlignment="1">
      <alignment horizontal="left" vertical="center"/>
    </xf>
    <xf numFmtId="175" fontId="53" fillId="62" borderId="10" xfId="0" applyNumberFormat="1" applyFont="1" applyFill="1" applyBorder="1" applyAlignment="1">
      <alignment horizontal="center" vertical="center" wrapText="1"/>
    </xf>
    <xf numFmtId="175" fontId="53" fillId="0" borderId="0" xfId="0" applyNumberFormat="1" applyFont="1" applyAlignment="1">
      <alignment horizontal="left" vertical="center"/>
    </xf>
    <xf numFmtId="175" fontId="53" fillId="0" borderId="10" xfId="0" applyNumberFormat="1" applyFont="1" applyBorder="1" applyAlignment="1">
      <alignment horizontal="left" vertical="center"/>
    </xf>
    <xf numFmtId="175" fontId="54" fillId="0" borderId="0" xfId="0" applyNumberFormat="1" applyFont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169" fontId="54" fillId="0" borderId="2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70" borderId="10" xfId="0" applyFont="1" applyFill="1" applyBorder="1" applyAlignment="1">
      <alignment horizontal="center" vertical="center"/>
    </xf>
    <xf numFmtId="169" fontId="54" fillId="70" borderId="10" xfId="0" applyNumberFormat="1" applyFont="1" applyFill="1" applyBorder="1" applyAlignment="1">
      <alignment horizontal="center" vertical="center"/>
    </xf>
    <xf numFmtId="0" fontId="54" fillId="70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71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4" fillId="70" borderId="10" xfId="0" applyNumberFormat="1" applyFont="1" applyFill="1" applyBorder="1" applyAlignment="1">
      <alignment horizontal="center" vertical="center"/>
    </xf>
    <xf numFmtId="2" fontId="54" fillId="0" borderId="10" xfId="1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0" xfId="1" applyNumberFormat="1" applyFont="1" applyFill="1" applyBorder="1" applyAlignment="1">
      <alignment horizontal="center" vertical="center"/>
    </xf>
    <xf numFmtId="0" fontId="0" fillId="74" borderId="10" xfId="0" applyFill="1" applyBorder="1" applyAlignment="1">
      <alignment horizontal="center" vertical="center"/>
    </xf>
    <xf numFmtId="14" fontId="0" fillId="74" borderId="10" xfId="0" applyNumberFormat="1" applyFill="1" applyBorder="1" applyAlignment="1">
      <alignment horizontal="center" vertical="center"/>
    </xf>
    <xf numFmtId="0" fontId="0" fillId="74" borderId="10" xfId="0" applyFill="1" applyBorder="1" applyAlignment="1">
      <alignment horizontal="center" vertical="center" wrapText="1"/>
    </xf>
    <xf numFmtId="169" fontId="0" fillId="74" borderId="10" xfId="0" applyNumberFormat="1" applyFill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/>
    <xf numFmtId="0" fontId="0" fillId="0" borderId="12" xfId="0" applyBorder="1"/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176" fontId="0" fillId="74" borderId="10" xfId="0" applyNumberFormat="1" applyFill="1" applyBorder="1" applyAlignment="1">
      <alignment horizontal="center" vertical="center"/>
    </xf>
    <xf numFmtId="169" fontId="16" fillId="74" borderId="57" xfId="0" applyNumberFormat="1" applyFont="1" applyFill="1" applyBorder="1" applyAlignment="1">
      <alignment vertical="center"/>
    </xf>
    <xf numFmtId="173" fontId="0" fillId="74" borderId="10" xfId="0" applyNumberFormat="1" applyFill="1" applyBorder="1" applyAlignment="1">
      <alignment horizontal="center" vertical="center"/>
    </xf>
    <xf numFmtId="0" fontId="0" fillId="0" borderId="0" xfId="0" applyBorder="1"/>
    <xf numFmtId="0" fontId="0" fillId="74" borderId="12" xfId="0" applyFill="1" applyBorder="1"/>
    <xf numFmtId="0" fontId="0" fillId="74" borderId="10" xfId="0" applyFill="1" applyBorder="1"/>
    <xf numFmtId="0" fontId="0" fillId="74" borderId="50" xfId="0" applyFill="1" applyBorder="1"/>
    <xf numFmtId="0" fontId="0" fillId="74" borderId="82" xfId="0" applyFill="1" applyBorder="1"/>
    <xf numFmtId="169" fontId="54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73" borderId="10" xfId="0" applyFont="1" applyFill="1" applyBorder="1" applyAlignment="1">
      <alignment horizontal="center" vertical="center"/>
    </xf>
    <xf numFmtId="0" fontId="54" fillId="71" borderId="10" xfId="0" applyFont="1" applyFill="1" applyBorder="1" applyAlignment="1">
      <alignment horizontal="center" vertical="center"/>
    </xf>
    <xf numFmtId="0" fontId="47" fillId="73" borderId="11" xfId="0" applyFont="1" applyFill="1" applyBorder="1" applyAlignment="1">
      <alignment horizontal="center" vertical="center"/>
    </xf>
    <xf numFmtId="0" fontId="47" fillId="73" borderId="0" xfId="0" applyFont="1" applyFill="1" applyAlignment="1">
      <alignment horizontal="center" vertical="center"/>
    </xf>
    <xf numFmtId="0" fontId="47" fillId="68" borderId="10" xfId="0" applyFont="1" applyFill="1" applyBorder="1" applyAlignment="1">
      <alignment horizontal="center" vertical="center"/>
    </xf>
    <xf numFmtId="9" fontId="47" fillId="68" borderId="10" xfId="1" applyFont="1" applyFill="1" applyBorder="1" applyAlignment="1">
      <alignment horizontal="center" vertical="center"/>
    </xf>
    <xf numFmtId="175" fontId="54" fillId="71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5" fontId="54" fillId="73" borderId="10" xfId="0" applyNumberFormat="1" applyFont="1" applyFill="1" applyBorder="1" applyAlignment="1">
      <alignment horizontal="center" vertical="center"/>
    </xf>
    <xf numFmtId="169" fontId="54" fillId="73" borderId="10" xfId="0" applyNumberFormat="1" applyFont="1" applyFill="1" applyBorder="1" applyAlignment="1">
      <alignment horizontal="center" vertical="center"/>
    </xf>
    <xf numFmtId="0" fontId="54" fillId="73" borderId="10" xfId="0" applyFont="1" applyFill="1" applyBorder="1" applyAlignment="1">
      <alignment horizontal="center" vertical="center"/>
    </xf>
    <xf numFmtId="168" fontId="54" fillId="73" borderId="10" xfId="1" applyNumberFormat="1" applyFont="1" applyFill="1" applyBorder="1" applyAlignment="1">
      <alignment horizontal="center" vertical="center"/>
    </xf>
    <xf numFmtId="0" fontId="16" fillId="57" borderId="10" xfId="0" applyFont="1" applyFill="1" applyBorder="1" applyAlignment="1">
      <alignment horizontal="center" vertical="center"/>
    </xf>
    <xf numFmtId="0" fontId="16" fillId="58" borderId="10" xfId="0" applyFont="1" applyFill="1" applyBorder="1" applyAlignment="1">
      <alignment horizontal="center" vertical="center"/>
    </xf>
    <xf numFmtId="2" fontId="16" fillId="58" borderId="10" xfId="0" applyNumberFormat="1" applyFont="1" applyFill="1" applyBorder="1" applyAlignment="1">
      <alignment horizontal="center" vertical="center"/>
    </xf>
    <xf numFmtId="2" fontId="16" fillId="58" borderId="22" xfId="0" applyNumberFormat="1" applyFont="1" applyFill="1" applyBorder="1" applyAlignment="1">
      <alignment horizontal="center" vertical="center"/>
    </xf>
    <xf numFmtId="2" fontId="16" fillId="58" borderId="12" xfId="0" applyNumberFormat="1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wrapText="1"/>
    </xf>
    <xf numFmtId="0" fontId="16" fillId="55" borderId="25" xfId="0" applyFont="1" applyFill="1" applyBorder="1" applyAlignment="1">
      <alignment horizontal="center" wrapText="1"/>
    </xf>
    <xf numFmtId="0" fontId="16" fillId="55" borderId="26" xfId="0" applyFont="1" applyFill="1" applyBorder="1" applyAlignment="1">
      <alignment horizontal="center" wrapText="1"/>
    </xf>
    <xf numFmtId="171" fontId="16" fillId="55" borderId="11" xfId="0" applyNumberFormat="1" applyFont="1" applyFill="1" applyBorder="1" applyAlignment="1">
      <alignment horizontal="center" vertical="center" wrapText="1"/>
    </xf>
    <xf numFmtId="171" fontId="16" fillId="55" borderId="27" xfId="0" applyNumberFormat="1" applyFont="1" applyFill="1" applyBorder="1" applyAlignment="1">
      <alignment horizontal="center" vertical="center" wrapText="1"/>
    </xf>
    <xf numFmtId="171" fontId="16" fillId="55" borderId="28" xfId="0" applyNumberFormat="1" applyFont="1" applyFill="1" applyBorder="1" applyAlignment="1">
      <alignment horizontal="center" vertical="center" wrapText="1"/>
    </xf>
    <xf numFmtId="0" fontId="16" fillId="62" borderId="31" xfId="0" applyFont="1" applyFill="1" applyBorder="1" applyAlignment="1">
      <alignment horizontal="center"/>
    </xf>
    <xf numFmtId="0" fontId="16" fillId="62" borderId="30" xfId="0" applyFont="1" applyFill="1" applyBorder="1" applyAlignment="1">
      <alignment horizontal="center"/>
    </xf>
    <xf numFmtId="0" fontId="0" fillId="62" borderId="22" xfId="0" applyFill="1" applyBorder="1" applyAlignment="1">
      <alignment horizontal="center" vertical="center"/>
    </xf>
    <xf numFmtId="0" fontId="0" fillId="62" borderId="23" xfId="0" applyFill="1" applyBorder="1" applyAlignment="1">
      <alignment horizontal="center" vertical="center"/>
    </xf>
    <xf numFmtId="0" fontId="0" fillId="62" borderId="12" xfId="0" applyFill="1" applyBorder="1" applyAlignment="1">
      <alignment horizontal="center" vertical="center"/>
    </xf>
    <xf numFmtId="0" fontId="16" fillId="57" borderId="29" xfId="0" applyFont="1" applyFill="1" applyBorder="1" applyAlignment="1">
      <alignment horizontal="center" vertical="center"/>
    </xf>
    <xf numFmtId="0" fontId="16" fillId="57" borderId="31" xfId="0" applyFont="1" applyFill="1" applyBorder="1" applyAlignment="1">
      <alignment horizontal="center" vertical="center"/>
    </xf>
    <xf numFmtId="0" fontId="16" fillId="57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top"/>
    </xf>
    <xf numFmtId="0" fontId="0" fillId="62" borderId="30" xfId="0" applyFill="1" applyBorder="1" applyAlignment="1">
      <alignment horizontal="center" vertical="center"/>
    </xf>
    <xf numFmtId="0" fontId="48" fillId="67" borderId="36" xfId="0" applyFont="1" applyFill="1" applyBorder="1" applyAlignment="1">
      <alignment horizontal="center" vertical="center" wrapText="1"/>
    </xf>
    <xf numFmtId="0" fontId="48" fillId="67" borderId="37" xfId="0" applyFont="1" applyFill="1" applyBorder="1" applyAlignment="1">
      <alignment horizontal="center" vertical="center" wrapText="1"/>
    </xf>
    <xf numFmtId="0" fontId="48" fillId="67" borderId="3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55" borderId="24" xfId="0" applyFont="1" applyFill="1" applyBorder="1" applyAlignment="1">
      <alignment horizontal="center" vertical="center" wrapText="1"/>
    </xf>
    <xf numFmtId="0" fontId="51" fillId="55" borderId="25" xfId="0" applyFont="1" applyFill="1" applyBorder="1" applyAlignment="1">
      <alignment horizontal="center" vertical="center" wrapText="1"/>
    </xf>
    <xf numFmtId="171" fontId="51" fillId="55" borderId="11" xfId="0" applyNumberFormat="1" applyFont="1" applyFill="1" applyBorder="1" applyAlignment="1">
      <alignment horizontal="center" vertical="center" wrapText="1"/>
    </xf>
    <xf numFmtId="171" fontId="51" fillId="55" borderId="27" xfId="0" applyNumberFormat="1" applyFont="1" applyFill="1" applyBorder="1" applyAlignment="1">
      <alignment horizontal="center" vertical="center" wrapText="1"/>
    </xf>
    <xf numFmtId="0" fontId="48" fillId="61" borderId="49" xfId="0" applyFont="1" applyFill="1" applyBorder="1" applyAlignment="1">
      <alignment horizontal="center" vertical="center" wrapText="1"/>
    </xf>
    <xf numFmtId="0" fontId="48" fillId="61" borderId="41" xfId="0" applyFont="1" applyFill="1" applyBorder="1" applyAlignment="1">
      <alignment horizontal="center" vertical="center" wrapText="1"/>
    </xf>
    <xf numFmtId="0" fontId="48" fillId="61" borderId="47" xfId="0" applyFont="1" applyFill="1" applyBorder="1" applyAlignment="1">
      <alignment horizontal="center" vertical="center" wrapText="1"/>
    </xf>
    <xf numFmtId="0" fontId="48" fillId="55" borderId="49" xfId="0" applyFont="1" applyFill="1" applyBorder="1" applyAlignment="1">
      <alignment horizontal="center" vertical="center" wrapText="1"/>
    </xf>
    <xf numFmtId="0" fontId="48" fillId="55" borderId="41" xfId="0" applyFont="1" applyFill="1" applyBorder="1" applyAlignment="1">
      <alignment horizontal="center" vertical="center" wrapText="1"/>
    </xf>
    <xf numFmtId="0" fontId="48" fillId="55" borderId="47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75" fontId="54" fillId="0" borderId="22" xfId="0" applyNumberFormat="1" applyFont="1" applyBorder="1" applyAlignment="1">
      <alignment horizontal="center" vertical="center"/>
    </xf>
    <xf numFmtId="175" fontId="54" fillId="0" borderId="12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69" fontId="55" fillId="0" borderId="10" xfId="0" applyNumberFormat="1" applyFont="1" applyBorder="1" applyAlignment="1">
      <alignment horizontal="center" vertical="center"/>
    </xf>
    <xf numFmtId="10" fontId="54" fillId="0" borderId="10" xfId="1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175" fontId="54" fillId="0" borderId="22" xfId="0" applyNumberFormat="1" applyFont="1" applyFill="1" applyBorder="1" applyAlignment="1">
      <alignment horizontal="center" vertical="center"/>
    </xf>
    <xf numFmtId="175" fontId="54" fillId="0" borderId="12" xfId="0" applyNumberFormat="1" applyFont="1" applyFill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169" fontId="54" fillId="73" borderId="22" xfId="0" applyNumberFormat="1" applyFont="1" applyFill="1" applyBorder="1" applyAlignment="1">
      <alignment horizontal="center" vertical="center"/>
    </xf>
    <xf numFmtId="169" fontId="54" fillId="73" borderId="12" xfId="0" applyNumberFormat="1" applyFont="1" applyFill="1" applyBorder="1" applyAlignment="1">
      <alignment horizontal="center" vertical="center"/>
    </xf>
    <xf numFmtId="169" fontId="55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71" borderId="22" xfId="0" applyFont="1" applyFill="1" applyBorder="1" applyAlignment="1">
      <alignment horizontal="center" vertical="center"/>
    </xf>
    <xf numFmtId="0" fontId="54" fillId="71" borderId="12" xfId="0" applyFont="1" applyFill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175" fontId="54" fillId="0" borderId="10" xfId="0" applyNumberFormat="1" applyFont="1" applyBorder="1" applyAlignment="1">
      <alignment horizontal="center" vertical="center"/>
    </xf>
    <xf numFmtId="0" fontId="53" fillId="57" borderId="10" xfId="0" applyFont="1" applyFill="1" applyBorder="1" applyAlignment="1">
      <alignment horizontal="center" vertical="center"/>
    </xf>
    <xf numFmtId="1" fontId="53" fillId="0" borderId="45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175" fontId="54" fillId="73" borderId="22" xfId="0" applyNumberFormat="1" applyFont="1" applyFill="1" applyBorder="1" applyAlignment="1">
      <alignment horizontal="center" vertical="center"/>
    </xf>
    <xf numFmtId="175" fontId="54" fillId="73" borderId="12" xfId="0" applyNumberFormat="1" applyFont="1" applyFill="1" applyBorder="1" applyAlignment="1">
      <alignment horizontal="center" vertical="center"/>
    </xf>
    <xf numFmtId="169" fontId="54" fillId="0" borderId="22" xfId="0" applyNumberFormat="1" applyFont="1" applyFill="1" applyBorder="1" applyAlignment="1">
      <alignment horizontal="center" vertical="center"/>
    </xf>
    <xf numFmtId="169" fontId="54" fillId="0" borderId="12" xfId="0" applyNumberFormat="1" applyFont="1" applyFill="1" applyBorder="1" applyAlignment="1">
      <alignment horizontal="center" vertical="center"/>
    </xf>
    <xf numFmtId="169" fontId="54" fillId="73" borderId="10" xfId="0" applyNumberFormat="1" applyFont="1" applyFill="1" applyBorder="1" applyAlignment="1">
      <alignment horizontal="center" vertical="center"/>
    </xf>
    <xf numFmtId="10" fontId="54" fillId="73" borderId="10" xfId="1" applyNumberFormat="1" applyFont="1" applyFill="1" applyBorder="1" applyAlignment="1">
      <alignment horizontal="center" vertical="center"/>
    </xf>
    <xf numFmtId="169" fontId="55" fillId="73" borderId="10" xfId="0" applyNumberFormat="1" applyFont="1" applyFill="1" applyBorder="1" applyAlignment="1">
      <alignment horizontal="center" vertical="center"/>
    </xf>
    <xf numFmtId="0" fontId="53" fillId="55" borderId="24" xfId="0" applyFont="1" applyFill="1" applyBorder="1" applyAlignment="1">
      <alignment horizontal="center" vertical="top" wrapText="1"/>
    </xf>
    <xf numFmtId="0" fontId="53" fillId="55" borderId="25" xfId="0" applyFont="1" applyFill="1" applyBorder="1" applyAlignment="1">
      <alignment horizontal="center" vertical="top" wrapText="1"/>
    </xf>
    <xf numFmtId="0" fontId="53" fillId="55" borderId="26" xfId="0" applyFont="1" applyFill="1" applyBorder="1" applyAlignment="1">
      <alignment horizontal="center" vertical="top" wrapText="1"/>
    </xf>
    <xf numFmtId="1" fontId="53" fillId="0" borderId="2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" fontId="56" fillId="0" borderId="23" xfId="0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71" fontId="53" fillId="55" borderId="11" xfId="0" applyNumberFormat="1" applyFont="1" applyFill="1" applyBorder="1" applyAlignment="1">
      <alignment horizontal="center" vertical="center" wrapText="1"/>
    </xf>
    <xf numFmtId="171" fontId="53" fillId="55" borderId="27" xfId="0" applyNumberFormat="1" applyFont="1" applyFill="1" applyBorder="1" applyAlignment="1">
      <alignment horizontal="center" vertical="center" wrapText="1"/>
    </xf>
    <xf numFmtId="171" fontId="53" fillId="55" borderId="28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2" fontId="54" fillId="0" borderId="10" xfId="1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5" fontId="54" fillId="71" borderId="22" xfId="0" applyNumberFormat="1" applyFont="1" applyFill="1" applyBorder="1" applyAlignment="1">
      <alignment horizontal="center" vertical="center"/>
    </xf>
    <xf numFmtId="175" fontId="54" fillId="71" borderId="12" xfId="0" applyNumberFormat="1" applyFont="1" applyFill="1" applyBorder="1" applyAlignment="1">
      <alignment horizontal="center" vertical="center"/>
    </xf>
    <xf numFmtId="0" fontId="53" fillId="64" borderId="10" xfId="0" applyFont="1" applyFill="1" applyBorder="1" applyAlignment="1">
      <alignment horizontal="center" vertical="center"/>
    </xf>
    <xf numFmtId="0" fontId="53" fillId="63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55" borderId="10" xfId="0" applyFont="1" applyFill="1" applyBorder="1" applyAlignment="1">
      <alignment horizontal="center" vertical="center"/>
    </xf>
    <xf numFmtId="0" fontId="54" fillId="59" borderId="22" xfId="0" applyFont="1" applyFill="1" applyBorder="1" applyAlignment="1">
      <alignment horizontal="center" vertical="center"/>
    </xf>
    <xf numFmtId="0" fontId="54" fillId="59" borderId="1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71" borderId="10" xfId="0" applyFont="1" applyFill="1" applyBorder="1" applyAlignment="1">
      <alignment horizontal="center" vertical="center"/>
    </xf>
    <xf numFmtId="0" fontId="54" fillId="73" borderId="22" xfId="0" applyFont="1" applyFill="1" applyBorder="1" applyAlignment="1">
      <alignment horizontal="center" vertical="center"/>
    </xf>
    <xf numFmtId="0" fontId="54" fillId="73" borderId="12" xfId="0" applyFont="1" applyFill="1" applyBorder="1" applyAlignment="1">
      <alignment horizontal="center" vertical="center"/>
    </xf>
    <xf numFmtId="169" fontId="54" fillId="71" borderId="10" xfId="0" applyNumberFormat="1" applyFont="1" applyFill="1" applyBorder="1" applyAlignment="1">
      <alignment horizontal="center" vertical="center"/>
    </xf>
    <xf numFmtId="10" fontId="54" fillId="71" borderId="10" xfId="1" applyNumberFormat="1" applyFont="1" applyFill="1" applyBorder="1" applyAlignment="1">
      <alignment horizontal="center" vertical="center"/>
    </xf>
    <xf numFmtId="169" fontId="55" fillId="71" borderId="10" xfId="0" applyNumberFormat="1" applyFont="1" applyFill="1" applyBorder="1" applyAlignment="1">
      <alignment horizontal="center" vertical="center"/>
    </xf>
    <xf numFmtId="169" fontId="54" fillId="71" borderId="22" xfId="0" applyNumberFormat="1" applyFont="1" applyFill="1" applyBorder="1" applyAlignment="1">
      <alignment horizontal="center" vertical="center"/>
    </xf>
    <xf numFmtId="169" fontId="54" fillId="71" borderId="12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2" fontId="47" fillId="0" borderId="22" xfId="1" applyNumberFormat="1" applyFont="1" applyBorder="1" applyAlignment="1">
      <alignment horizontal="center" vertical="center"/>
    </xf>
    <xf numFmtId="172" fontId="47" fillId="0" borderId="23" xfId="1" applyNumberFormat="1" applyFont="1" applyBorder="1" applyAlignment="1">
      <alignment horizontal="center" vertical="center"/>
    </xf>
    <xf numFmtId="172" fontId="47" fillId="0" borderId="12" xfId="1" applyNumberFormat="1" applyFont="1" applyBorder="1" applyAlignment="1">
      <alignment horizontal="center" vertical="center"/>
    </xf>
    <xf numFmtId="0" fontId="48" fillId="75" borderId="29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 vertical="center"/>
    </xf>
    <xf numFmtId="14" fontId="48" fillId="0" borderId="23" xfId="0" applyNumberFormat="1" applyFont="1" applyBorder="1" applyAlignment="1">
      <alignment horizontal="center" vertical="center"/>
    </xf>
    <xf numFmtId="0" fontId="48" fillId="75" borderId="24" xfId="0" applyFont="1" applyFill="1" applyBorder="1" applyAlignment="1">
      <alignment horizontal="center" vertical="center"/>
    </xf>
    <xf numFmtId="0" fontId="48" fillId="75" borderId="73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75" borderId="32" xfId="0" applyFont="1" applyFill="1" applyBorder="1" applyAlignment="1">
      <alignment horizontal="center" vertical="center"/>
    </xf>
    <xf numFmtId="0" fontId="48" fillId="75" borderId="77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7" fillId="75" borderId="32" xfId="0" applyFont="1" applyFill="1" applyBorder="1" applyAlignment="1">
      <alignment horizontal="center" vertical="center"/>
    </xf>
    <xf numFmtId="0" fontId="47" fillId="75" borderId="77" xfId="0" applyFont="1" applyFill="1" applyBorder="1" applyAlignment="1">
      <alignment horizontal="center" vertical="center"/>
    </xf>
    <xf numFmtId="0" fontId="47" fillId="75" borderId="24" xfId="0" applyFont="1" applyFill="1" applyBorder="1" applyAlignment="1">
      <alignment horizontal="center" vertical="center"/>
    </xf>
    <xf numFmtId="0" fontId="47" fillId="75" borderId="73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167" fontId="48" fillId="55" borderId="24" xfId="0" applyNumberFormat="1" applyFont="1" applyFill="1" applyBorder="1" applyAlignment="1">
      <alignment horizontal="center"/>
    </xf>
    <xf numFmtId="167" fontId="48" fillId="55" borderId="25" xfId="0" applyNumberFormat="1" applyFont="1" applyFill="1" applyBorder="1" applyAlignment="1">
      <alignment horizontal="center"/>
    </xf>
    <xf numFmtId="167" fontId="48" fillId="55" borderId="26" xfId="0" applyNumberFormat="1" applyFont="1" applyFill="1" applyBorder="1" applyAlignment="1">
      <alignment horizontal="center"/>
    </xf>
    <xf numFmtId="171" fontId="48" fillId="55" borderId="11" xfId="0" applyNumberFormat="1" applyFont="1" applyFill="1" applyBorder="1" applyAlignment="1">
      <alignment horizontal="center"/>
    </xf>
    <xf numFmtId="171" fontId="48" fillId="55" borderId="27" xfId="0" applyNumberFormat="1" applyFont="1" applyFill="1" applyBorder="1" applyAlignment="1">
      <alignment horizontal="center"/>
    </xf>
    <xf numFmtId="171" fontId="48" fillId="55" borderId="28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4" fontId="48" fillId="0" borderId="12" xfId="0" applyNumberFormat="1" applyFont="1" applyBorder="1" applyAlignment="1">
      <alignment horizontal="center" vertical="center"/>
    </xf>
    <xf numFmtId="0" fontId="47" fillId="75" borderId="11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172" fontId="47" fillId="0" borderId="10" xfId="1" applyNumberFormat="1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9" fontId="47" fillId="0" borderId="22" xfId="1" applyFont="1" applyBorder="1" applyAlignment="1">
      <alignment horizontal="center" vertical="center"/>
    </xf>
    <xf numFmtId="9" fontId="47" fillId="0" borderId="23" xfId="1" applyFont="1" applyBorder="1" applyAlignment="1">
      <alignment horizontal="center" vertical="center"/>
    </xf>
    <xf numFmtId="9" fontId="47" fillId="0" borderId="12" xfId="1" applyFont="1" applyBorder="1" applyAlignment="1">
      <alignment horizontal="center" vertical="center"/>
    </xf>
    <xf numFmtId="9" fontId="49" fillId="0" borderId="22" xfId="1" applyFont="1" applyBorder="1" applyAlignment="1">
      <alignment horizontal="center" vertical="center"/>
    </xf>
    <xf numFmtId="9" fontId="49" fillId="0" borderId="23" xfId="1" applyFont="1" applyBorder="1" applyAlignment="1">
      <alignment horizontal="center" vertical="center"/>
    </xf>
    <xf numFmtId="9" fontId="49" fillId="0" borderId="12" xfId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68" borderId="22" xfId="0" applyFont="1" applyFill="1" applyBorder="1" applyAlignment="1">
      <alignment horizontal="center" vertical="center"/>
    </xf>
    <xf numFmtId="0" fontId="47" fillId="68" borderId="23" xfId="0" applyFont="1" applyFill="1" applyBorder="1" applyAlignment="1">
      <alignment horizontal="center" vertical="center"/>
    </xf>
    <xf numFmtId="0" fontId="47" fillId="68" borderId="12" xfId="0" applyFont="1" applyFill="1" applyBorder="1" applyAlignment="1">
      <alignment horizontal="center" vertical="center"/>
    </xf>
    <xf numFmtId="0" fontId="52" fillId="55" borderId="24" xfId="0" applyFont="1" applyFill="1" applyBorder="1" applyAlignment="1">
      <alignment horizontal="center" vertical="center"/>
    </xf>
    <xf numFmtId="0" fontId="52" fillId="55" borderId="25" xfId="0" applyFont="1" applyFill="1" applyBorder="1" applyAlignment="1">
      <alignment horizontal="center" vertical="center"/>
    </xf>
    <xf numFmtId="0" fontId="52" fillId="55" borderId="26" xfId="0" applyFont="1" applyFill="1" applyBorder="1" applyAlignment="1">
      <alignment horizontal="center" vertical="center"/>
    </xf>
    <xf numFmtId="171" fontId="52" fillId="55" borderId="11" xfId="0" applyNumberFormat="1" applyFont="1" applyFill="1" applyBorder="1" applyAlignment="1">
      <alignment horizontal="center" vertical="center"/>
    </xf>
    <xf numFmtId="171" fontId="52" fillId="55" borderId="27" xfId="0" applyNumberFormat="1" applyFont="1" applyFill="1" applyBorder="1" applyAlignment="1">
      <alignment horizontal="center" vertical="center"/>
    </xf>
    <xf numFmtId="171" fontId="52" fillId="55" borderId="28" xfId="0" applyNumberFormat="1" applyFont="1" applyFill="1" applyBorder="1" applyAlignment="1">
      <alignment horizontal="center" vertical="center"/>
    </xf>
    <xf numFmtId="0" fontId="47" fillId="68" borderId="10" xfId="0" applyFont="1" applyFill="1" applyBorder="1" applyAlignment="1">
      <alignment horizontal="center" vertical="center"/>
    </xf>
    <xf numFmtId="9" fontId="47" fillId="68" borderId="22" xfId="1" applyFont="1" applyFill="1" applyBorder="1" applyAlignment="1">
      <alignment horizontal="center" vertical="center"/>
    </xf>
    <xf numFmtId="9" fontId="47" fillId="68" borderId="23" xfId="1" applyFont="1" applyFill="1" applyBorder="1" applyAlignment="1">
      <alignment horizontal="center" vertical="center"/>
    </xf>
    <xf numFmtId="9" fontId="47" fillId="68" borderId="12" xfId="1" applyFont="1" applyFill="1" applyBorder="1" applyAlignment="1">
      <alignment horizontal="center" vertical="center"/>
    </xf>
    <xf numFmtId="10" fontId="47" fillId="68" borderId="22" xfId="1" applyNumberFormat="1" applyFont="1" applyFill="1" applyBorder="1" applyAlignment="1">
      <alignment horizontal="center" vertical="center"/>
    </xf>
    <xf numFmtId="10" fontId="47" fillId="68" borderId="23" xfId="1" applyNumberFormat="1" applyFont="1" applyFill="1" applyBorder="1" applyAlignment="1">
      <alignment horizontal="center" vertical="center"/>
    </xf>
    <xf numFmtId="10" fontId="47" fillId="68" borderId="12" xfId="1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52" fillId="55" borderId="58" xfId="0" applyFont="1" applyFill="1" applyBorder="1" applyAlignment="1">
      <alignment horizontal="center" vertical="center"/>
    </xf>
    <xf numFmtId="0" fontId="52" fillId="55" borderId="48" xfId="0" applyFont="1" applyFill="1" applyBorder="1" applyAlignment="1">
      <alignment horizontal="center" vertical="center"/>
    </xf>
    <xf numFmtId="0" fontId="52" fillId="55" borderId="59" xfId="0" applyFont="1" applyFill="1" applyBorder="1" applyAlignment="1">
      <alignment horizontal="center" vertical="center"/>
    </xf>
    <xf numFmtId="171" fontId="52" fillId="55" borderId="60" xfId="0" applyNumberFormat="1" applyFont="1" applyFill="1" applyBorder="1" applyAlignment="1">
      <alignment horizontal="center" vertical="center"/>
    </xf>
    <xf numFmtId="171" fontId="52" fillId="55" borderId="35" xfId="0" applyNumberFormat="1" applyFont="1" applyFill="1" applyBorder="1" applyAlignment="1">
      <alignment horizontal="center" vertical="center"/>
    </xf>
    <xf numFmtId="171" fontId="52" fillId="55" borderId="6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62" borderId="49" xfId="0" applyFont="1" applyFill="1" applyBorder="1" applyAlignment="1">
      <alignment horizontal="center" vertical="center"/>
    </xf>
    <xf numFmtId="0" fontId="52" fillId="62" borderId="39" xfId="0" applyFont="1" applyFill="1" applyBorder="1" applyAlignment="1">
      <alignment horizontal="center" vertical="center"/>
    </xf>
    <xf numFmtId="0" fontId="52" fillId="62" borderId="40" xfId="0" applyFont="1" applyFill="1" applyBorder="1" applyAlignment="1">
      <alignment horizontal="center" vertical="center"/>
    </xf>
    <xf numFmtId="0" fontId="16" fillId="66" borderId="49" xfId="0" applyFont="1" applyFill="1" applyBorder="1" applyAlignment="1">
      <alignment horizontal="center" vertical="center"/>
    </xf>
    <xf numFmtId="0" fontId="16" fillId="66" borderId="39" xfId="0" applyFont="1" applyFill="1" applyBorder="1" applyAlignment="1">
      <alignment horizontal="center" vertical="center"/>
    </xf>
    <xf numFmtId="0" fontId="16" fillId="66" borderId="40" xfId="0" applyFont="1" applyFill="1" applyBorder="1" applyAlignment="1">
      <alignment horizontal="center" vertical="center"/>
    </xf>
  </cellXfs>
  <cellStyles count="42114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[0]" xfId="42113" builtinId="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DDDD2"/>
      <color rgb="FFFFFFFF"/>
      <color rgb="FF3ABFC6"/>
      <color rgb="FFDCF3D7"/>
      <color rgb="FFFF3300"/>
      <color rgb="FF199586"/>
      <color rgb="FFD5E9F7"/>
      <color rgb="FFE7FBFF"/>
      <color rgb="FFE9CDE6"/>
      <color rgb="FFA7B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zoomScale="90" zoomScaleNormal="90" workbookViewId="0">
      <selection activeCell="B4" sqref="B4:J4"/>
    </sheetView>
  </sheetViews>
  <sheetFormatPr baseColWidth="10" defaultColWidth="11.42578125" defaultRowHeight="12"/>
  <cols>
    <col min="1" max="1" width="11.140625" style="8" customWidth="1"/>
    <col min="2" max="3" width="21.7109375" style="8" bestFit="1" customWidth="1"/>
    <col min="4" max="4" width="30.42578125" style="8" bestFit="1" customWidth="1"/>
    <col min="5" max="5" width="25.5703125" style="8" customWidth="1"/>
    <col min="6" max="6" width="19.28515625" style="8" bestFit="1" customWidth="1"/>
    <col min="7" max="7" width="22" style="8" bestFit="1" customWidth="1"/>
    <col min="8" max="8" width="15.140625" style="8" bestFit="1" customWidth="1"/>
    <col min="9" max="10" width="14.5703125" style="8" bestFit="1" customWidth="1"/>
    <col min="11" max="12" width="11.42578125" style="8"/>
    <col min="13" max="13" width="95" style="8" customWidth="1"/>
    <col min="14" max="16384" width="11.42578125" style="8"/>
  </cols>
  <sheetData>
    <row r="1" spans="2:12" ht="28.5" customHeight="1"/>
    <row r="2" spans="2:12" ht="12" customHeight="1">
      <c r="B2" s="428" t="s">
        <v>185</v>
      </c>
      <c r="C2" s="429"/>
      <c r="D2" s="429"/>
      <c r="E2" s="429"/>
      <c r="F2" s="429"/>
      <c r="G2" s="429"/>
      <c r="H2" s="429"/>
      <c r="I2" s="429"/>
      <c r="J2" s="430"/>
    </row>
    <row r="3" spans="2:12" ht="14.45" customHeight="1">
      <c r="B3" s="431">
        <v>45481</v>
      </c>
      <c r="C3" s="432"/>
      <c r="D3" s="432"/>
      <c r="E3" s="432"/>
      <c r="F3" s="432"/>
      <c r="G3" s="432"/>
      <c r="H3" s="432"/>
      <c r="I3" s="432"/>
      <c r="J3" s="433"/>
    </row>
    <row r="4" spans="2:12" ht="21.75" customHeight="1">
      <c r="B4" s="442" t="s">
        <v>69</v>
      </c>
      <c r="C4" s="442"/>
      <c r="D4" s="442"/>
      <c r="E4" s="442"/>
      <c r="F4" s="442"/>
      <c r="G4" s="442"/>
      <c r="H4" s="442"/>
      <c r="I4" s="442"/>
      <c r="J4" s="442"/>
    </row>
    <row r="5" spans="2:12" ht="15">
      <c r="B5" s="98" t="s">
        <v>98</v>
      </c>
      <c r="C5" s="117" t="s">
        <v>75</v>
      </c>
      <c r="D5" s="98" t="s">
        <v>76</v>
      </c>
      <c r="E5" s="118" t="s">
        <v>77</v>
      </c>
      <c r="F5" s="98" t="s">
        <v>78</v>
      </c>
      <c r="G5" s="98" t="s">
        <v>79</v>
      </c>
      <c r="H5" s="98" t="s">
        <v>80</v>
      </c>
      <c r="I5" s="98" t="s">
        <v>81</v>
      </c>
      <c r="J5" s="98" t="s">
        <v>64</v>
      </c>
    </row>
    <row r="6" spans="2:12" ht="15">
      <c r="B6" s="436" t="s">
        <v>99</v>
      </c>
      <c r="C6" s="443" t="s">
        <v>82</v>
      </c>
      <c r="D6" s="99" t="s">
        <v>89</v>
      </c>
      <c r="E6" s="101">
        <f>'CUOTA ARTESANAL'!E6</f>
        <v>2953</v>
      </c>
      <c r="F6" s="101">
        <f>'CUOTA ARTESANAL'!F6</f>
        <v>0</v>
      </c>
      <c r="G6" s="101">
        <f>'CUOTA ARTESANAL'!G6</f>
        <v>2953</v>
      </c>
      <c r="H6" s="101">
        <f>'CUOTA ARTESANAL'!H6</f>
        <v>2918.277</v>
      </c>
      <c r="I6" s="101">
        <f>'CUOTA ARTESANAL'!I6</f>
        <v>34.722999999999956</v>
      </c>
      <c r="J6" s="234">
        <f t="shared" ref="J6:J30" si="0">+H6/G6</f>
        <v>0.98824144937351843</v>
      </c>
    </row>
    <row r="7" spans="2:12" ht="15">
      <c r="B7" s="437"/>
      <c r="C7" s="443"/>
      <c r="D7" s="99" t="s">
        <v>144</v>
      </c>
      <c r="E7" s="101">
        <f>'CUOTA ARTESANAL'!E8</f>
        <v>2952</v>
      </c>
      <c r="F7" s="101">
        <f>'CUOTA ARTESANAL'!F8</f>
        <v>0</v>
      </c>
      <c r="G7" s="101">
        <f>'CUOTA ARTESANAL'!G8</f>
        <v>2952</v>
      </c>
      <c r="H7" s="101">
        <f>'CUOTA ARTESANAL'!H8</f>
        <v>3064.4140000000002</v>
      </c>
      <c r="I7" s="101">
        <f>'CUOTA ARTESANAL'!I8</f>
        <v>-112.41400000000021</v>
      </c>
      <c r="J7" s="234">
        <f t="shared" si="0"/>
        <v>1.0380806233062332</v>
      </c>
    </row>
    <row r="8" spans="2:12" ht="15">
      <c r="B8" s="437"/>
      <c r="C8" s="443"/>
      <c r="D8" s="99" t="s">
        <v>141</v>
      </c>
      <c r="E8" s="101">
        <f>'CUOTA ARTESANAL'!E10</f>
        <v>150</v>
      </c>
      <c r="F8" s="101">
        <f>'CUOTA ARTESANAL'!F10</f>
        <v>0</v>
      </c>
      <c r="G8" s="101">
        <f>'CUOTA ARTESANAL'!G10</f>
        <v>150</v>
      </c>
      <c r="H8" s="101">
        <f>'CUOTA ARTESANAL'!H10</f>
        <v>34.677999999999997</v>
      </c>
      <c r="I8" s="101">
        <f>'CUOTA ARTESANAL'!I10</f>
        <v>115.322</v>
      </c>
      <c r="J8" s="234">
        <f t="shared" si="0"/>
        <v>0.23118666666666665</v>
      </c>
    </row>
    <row r="9" spans="2:12" ht="15">
      <c r="B9" s="437"/>
      <c r="C9" s="443"/>
      <c r="D9" s="99" t="s">
        <v>90</v>
      </c>
      <c r="E9" s="101">
        <f>'CUOTA ARTESANAL'!E12</f>
        <v>7613</v>
      </c>
      <c r="F9" s="101">
        <f>'CUOTA ARTESANAL'!F12</f>
        <v>4121</v>
      </c>
      <c r="G9" s="101">
        <f>'CUOTA ARTESANAL'!G12</f>
        <v>11734</v>
      </c>
      <c r="H9" s="101">
        <f>'CUOTA ARTESANAL'!H12</f>
        <v>11324</v>
      </c>
      <c r="I9" s="101">
        <f>'CUOTA ARTESANAL'!I12</f>
        <v>410</v>
      </c>
      <c r="J9" s="234">
        <f t="shared" si="0"/>
        <v>0.96505880347707518</v>
      </c>
    </row>
    <row r="10" spans="2:12" ht="15">
      <c r="B10" s="437"/>
      <c r="C10" s="443"/>
      <c r="D10" s="99" t="s">
        <v>91</v>
      </c>
      <c r="E10" s="101">
        <f>SUM('CUOTA ARTESANAL'!E15:E18)</f>
        <v>17764</v>
      </c>
      <c r="F10" s="100">
        <f>SUM('CUOTA ARTESANAL'!F15:F18)</f>
        <v>1860.4030000000002</v>
      </c>
      <c r="G10" s="101">
        <f>E10+F10</f>
        <v>19624.402999999998</v>
      </c>
      <c r="H10" s="101">
        <f>SUM('CUOTA ARTESANAL'!H15:H18)</f>
        <v>15477.246999999999</v>
      </c>
      <c r="I10" s="101">
        <f>G10-H10</f>
        <v>4147.155999999999</v>
      </c>
      <c r="J10" s="234">
        <f t="shared" si="0"/>
        <v>0.7886735204123152</v>
      </c>
    </row>
    <row r="11" spans="2:12" ht="15">
      <c r="B11" s="437"/>
      <c r="C11" s="443"/>
      <c r="D11" s="99" t="s">
        <v>92</v>
      </c>
      <c r="E11" s="101">
        <f>SUM('CUOTA ARTESANAL'!E21:E26)</f>
        <v>8363.0010000000002</v>
      </c>
      <c r="F11" s="101">
        <f>SUM('CUOTA ARTESANAL'!F21:F26)</f>
        <v>-7149.8</v>
      </c>
      <c r="G11" s="101">
        <f t="shared" ref="G11:G19" si="1">E11+F11</f>
        <v>1213.201</v>
      </c>
      <c r="H11" s="101">
        <f>SUM('CUOTA ARTESANAL'!H21:H26)</f>
        <v>45.345999999999997</v>
      </c>
      <c r="I11" s="101">
        <f t="shared" ref="I11:I19" si="2">G11-H11</f>
        <v>1167.855</v>
      </c>
      <c r="J11" s="234">
        <f t="shared" si="0"/>
        <v>3.7377153497235818E-2</v>
      </c>
      <c r="L11" s="166"/>
    </row>
    <row r="12" spans="2:12" ht="15">
      <c r="B12" s="437"/>
      <c r="C12" s="443"/>
      <c r="D12" s="99" t="s">
        <v>51</v>
      </c>
      <c r="E12" s="101">
        <f>'CUOTA ARTESANAL'!E29</f>
        <v>32</v>
      </c>
      <c r="F12" s="101">
        <f>'CUOTA ARTESANAL'!F29</f>
        <v>0</v>
      </c>
      <c r="G12" s="101">
        <f t="shared" si="1"/>
        <v>32</v>
      </c>
      <c r="H12" s="101">
        <f>'CUOTA ARTESANAL'!H29</f>
        <v>30.43</v>
      </c>
      <c r="I12" s="101">
        <f t="shared" si="2"/>
        <v>1.5700000000000003</v>
      </c>
      <c r="J12" s="234">
        <f t="shared" si="0"/>
        <v>0.95093749999999999</v>
      </c>
    </row>
    <row r="13" spans="2:12" ht="15">
      <c r="B13" s="437"/>
      <c r="C13" s="443"/>
      <c r="D13" s="99" t="s">
        <v>52</v>
      </c>
      <c r="E13" s="101">
        <f>'CUOTA ARTESANAL'!E31</f>
        <v>273</v>
      </c>
      <c r="F13" s="101">
        <f>'CUOTA ARTESANAL'!F31</f>
        <v>0</v>
      </c>
      <c r="G13" s="101">
        <f t="shared" si="1"/>
        <v>273</v>
      </c>
      <c r="H13" s="101">
        <f>'CUOTA ARTESANAL'!H31</f>
        <v>274.334</v>
      </c>
      <c r="I13" s="101">
        <f t="shared" si="2"/>
        <v>-1.3340000000000032</v>
      </c>
      <c r="J13" s="234">
        <f t="shared" si="0"/>
        <v>1.0048864468864469</v>
      </c>
    </row>
    <row r="14" spans="2:12" ht="15">
      <c r="B14" s="437"/>
      <c r="C14" s="443"/>
      <c r="D14" s="99" t="s">
        <v>73</v>
      </c>
      <c r="E14" s="101">
        <f>'CUOTA ARTESANAL'!E33</f>
        <v>17820</v>
      </c>
      <c r="F14" s="101">
        <f>'CUOTA ARTESANAL'!F33</f>
        <v>0</v>
      </c>
      <c r="G14" s="101">
        <f>'CUOTA ARTESANAL'!G33</f>
        <v>17820</v>
      </c>
      <c r="H14" s="101">
        <f>'CUOTA ARTESANAL'!H33</f>
        <v>20575.974999999999</v>
      </c>
      <c r="I14" s="101">
        <f>'CUOTA ARTESANAL'!I33</f>
        <v>-2755.9749999999985</v>
      </c>
      <c r="J14" s="234">
        <f t="shared" si="0"/>
        <v>1.1546562850729516</v>
      </c>
    </row>
    <row r="15" spans="2:12" ht="15">
      <c r="B15" s="437"/>
      <c r="C15" s="443"/>
      <c r="D15" s="99" t="s">
        <v>53</v>
      </c>
      <c r="E15" s="101">
        <f>'CUOTA ARTESANAL'!E35</f>
        <v>401</v>
      </c>
      <c r="F15" s="101">
        <f>'CUOTA ARTESANAL'!F35</f>
        <v>0</v>
      </c>
      <c r="G15" s="101">
        <f>'CUOTA ARTESANAL'!G35</f>
        <v>401</v>
      </c>
      <c r="H15" s="101">
        <f>'CUOTA ARTESANAL'!H35</f>
        <v>11.369</v>
      </c>
      <c r="I15" s="101">
        <f>'CUOTA ARTESANAL'!I35</f>
        <v>389.63099999999997</v>
      </c>
      <c r="J15" s="234">
        <f t="shared" si="0"/>
        <v>2.8351620947630923E-2</v>
      </c>
    </row>
    <row r="16" spans="2:12" ht="15">
      <c r="B16" s="437"/>
      <c r="C16" s="443"/>
      <c r="D16" s="99" t="s">
        <v>54</v>
      </c>
      <c r="E16" s="101">
        <f>'CUOTA ARTESANAL'!E37</f>
        <v>2084</v>
      </c>
      <c r="F16" s="101">
        <f>'CUOTA ARTESANAL'!F37</f>
        <v>0</v>
      </c>
      <c r="G16" s="101">
        <f>'CUOTA ARTESANAL'!G37</f>
        <v>2084</v>
      </c>
      <c r="H16" s="101">
        <f>'CUOTA ARTESANAL'!H37</f>
        <v>2122.7139999999999</v>
      </c>
      <c r="I16" s="101">
        <f>'CUOTA ARTESANAL'!I37</f>
        <v>-38.713999999999942</v>
      </c>
      <c r="J16" s="234">
        <f t="shared" si="0"/>
        <v>1.0185767754318618</v>
      </c>
    </row>
    <row r="17" spans="2:10" ht="15">
      <c r="B17" s="437"/>
      <c r="C17" s="443"/>
      <c r="D17" s="99" t="s">
        <v>93</v>
      </c>
      <c r="E17" s="101">
        <f>SUM('CUOTA ARTESANAL'!E39:E47)</f>
        <v>13942.026</v>
      </c>
      <c r="F17" s="101">
        <f>SUM('CUOTA ARTESANAL'!F39:F47)</f>
        <v>-12849.779</v>
      </c>
      <c r="G17" s="101">
        <f>E17+F17</f>
        <v>1092.2469999999994</v>
      </c>
      <c r="H17" s="101">
        <f>SUM('CUOTA ARTESANAL'!H39:H47)</f>
        <v>385.65600000000001</v>
      </c>
      <c r="I17" s="101">
        <f>G17-H17</f>
        <v>706.59099999999944</v>
      </c>
      <c r="J17" s="234">
        <f t="shared" si="0"/>
        <v>0.35308497070717543</v>
      </c>
    </row>
    <row r="18" spans="2:10" ht="15">
      <c r="B18" s="437"/>
      <c r="C18" s="443"/>
      <c r="D18" s="99" t="s">
        <v>122</v>
      </c>
      <c r="E18" s="101">
        <f>SUM('CUOTA ARTESANAL'!E50)</f>
        <v>327</v>
      </c>
      <c r="F18" s="101">
        <f>SUM('CUOTA ARTESANAL'!F50)</f>
        <v>0.1</v>
      </c>
      <c r="G18" s="101">
        <f>SUM('CUOTA ARTESANAL'!G50)</f>
        <v>327.10000000000002</v>
      </c>
      <c r="H18" s="101">
        <f>SUM('CUOTA ARTESANAL'!H50)</f>
        <v>124.309</v>
      </c>
      <c r="I18" s="101">
        <f>SUM('CUOTA ARTESANAL'!I50)</f>
        <v>202.79100000000003</v>
      </c>
      <c r="J18" s="234">
        <f t="shared" si="0"/>
        <v>0.3800336288596759</v>
      </c>
    </row>
    <row r="19" spans="2:10" ht="15">
      <c r="B19" s="437"/>
      <c r="C19" s="443"/>
      <c r="D19" s="99" t="s">
        <v>84</v>
      </c>
      <c r="E19" s="201">
        <f>'CUOTA ARTESANAL'!E53</f>
        <v>329</v>
      </c>
      <c r="F19" s="101">
        <f>'CUOTA ARTESANAL'!F50</f>
        <v>0.1</v>
      </c>
      <c r="G19" s="101">
        <f t="shared" si="1"/>
        <v>329.1</v>
      </c>
      <c r="H19" s="101">
        <f>'CUOTA ARTESANAL'!H53</f>
        <v>42.493000000000002</v>
      </c>
      <c r="I19" s="101">
        <f t="shared" si="2"/>
        <v>286.60700000000003</v>
      </c>
      <c r="J19" s="234">
        <f t="shared" si="0"/>
        <v>0.12911880887268307</v>
      </c>
    </row>
    <row r="20" spans="2:10" ht="15">
      <c r="B20" s="437"/>
      <c r="C20" s="443"/>
      <c r="D20" s="99" t="s">
        <v>85</v>
      </c>
      <c r="E20" s="235">
        <v>8242</v>
      </c>
      <c r="F20" s="101">
        <f>-2641.731-4121-955.448-418.259</f>
        <v>-8136.4380000000001</v>
      </c>
      <c r="G20" s="101">
        <f>+E20+F20</f>
        <v>105.5619999999999</v>
      </c>
      <c r="H20" s="101"/>
      <c r="I20" s="101">
        <f>+G20-H20</f>
        <v>105.5619999999999</v>
      </c>
      <c r="J20" s="234">
        <f t="shared" si="0"/>
        <v>0</v>
      </c>
    </row>
    <row r="21" spans="2:10" ht="15">
      <c r="B21" s="437"/>
      <c r="C21" s="443"/>
      <c r="D21" s="99" t="s">
        <v>86</v>
      </c>
      <c r="E21" s="235">
        <v>150</v>
      </c>
      <c r="F21" s="101">
        <v>0</v>
      </c>
      <c r="G21" s="101">
        <f>+E21+F21</f>
        <v>150</v>
      </c>
      <c r="H21" s="101">
        <f>G45</f>
        <v>0</v>
      </c>
      <c r="I21" s="101">
        <f>H45</f>
        <v>150</v>
      </c>
      <c r="J21" s="234">
        <f t="shared" si="0"/>
        <v>0</v>
      </c>
    </row>
    <row r="22" spans="2:10" ht="15">
      <c r="B22" s="437"/>
      <c r="C22" s="443"/>
      <c r="D22" s="99" t="s">
        <v>87</v>
      </c>
      <c r="E22" s="235">
        <v>8242</v>
      </c>
      <c r="F22" s="101">
        <v>0</v>
      </c>
      <c r="G22" s="101">
        <f>+E22+F22</f>
        <v>8242</v>
      </c>
      <c r="H22" s="101">
        <f>'CONSUMO HUMANO'!E7</f>
        <v>7067.55</v>
      </c>
      <c r="I22" s="101">
        <f>'CONSUMO HUMANO'!F7</f>
        <v>1174.4499999999998</v>
      </c>
      <c r="J22" s="234">
        <f t="shared" si="0"/>
        <v>0.85750424654210144</v>
      </c>
    </row>
    <row r="23" spans="2:10" ht="15">
      <c r="B23" s="437"/>
      <c r="C23" s="443"/>
      <c r="D23" s="99" t="s">
        <v>88</v>
      </c>
      <c r="E23" s="235">
        <f>D38</f>
        <v>20</v>
      </c>
      <c r="F23" s="101">
        <v>0</v>
      </c>
      <c r="G23" s="101">
        <f>+E23+F23</f>
        <v>20</v>
      </c>
      <c r="H23" s="101">
        <f>G38</f>
        <v>0</v>
      </c>
      <c r="I23" s="101">
        <f>H38</f>
        <v>20</v>
      </c>
      <c r="J23" s="234">
        <f t="shared" si="0"/>
        <v>0</v>
      </c>
    </row>
    <row r="24" spans="2:10" ht="15">
      <c r="B24" s="437"/>
      <c r="C24" s="443"/>
      <c r="D24" s="99" t="s">
        <v>72</v>
      </c>
      <c r="E24" s="100">
        <v>0</v>
      </c>
      <c r="F24" s="100">
        <f>'CESIONES INDIVIDUALES'!N5</f>
        <v>51179.235999999997</v>
      </c>
      <c r="G24" s="101">
        <f>+E24+F24</f>
        <v>51179.235999999997</v>
      </c>
      <c r="H24" s="101">
        <f>'CESIONES INDIVIDUALES'!O5</f>
        <v>32424.822000000015</v>
      </c>
      <c r="I24" s="101">
        <f>'CESIONES INDIVIDUALES'!P5</f>
        <v>18754.413999999982</v>
      </c>
      <c r="J24" s="234">
        <f t="shared" si="0"/>
        <v>0.63355424062993082</v>
      </c>
    </row>
    <row r="25" spans="2:10" ht="15">
      <c r="B25" s="437"/>
      <c r="C25" s="443" t="s">
        <v>83</v>
      </c>
      <c r="D25" s="99" t="s">
        <v>94</v>
      </c>
      <c r="E25" s="101">
        <f>'CUOTA INDUSTRIAL'!L24</f>
        <v>115039.00299999998</v>
      </c>
      <c r="F25" s="101">
        <f>'CUOTA INDUSTRIAL'!M24</f>
        <v>-17177.743000000002</v>
      </c>
      <c r="G25" s="101">
        <f>E25+F25</f>
        <v>97861.25999999998</v>
      </c>
      <c r="H25" s="101">
        <f>'CUOTA INDUSTRIAL'!O24</f>
        <v>91678.365999999995</v>
      </c>
      <c r="I25" s="101">
        <f>G25-H25</f>
        <v>6182.8939999999857</v>
      </c>
      <c r="J25" s="234">
        <f t="shared" si="0"/>
        <v>0.93681979978594199</v>
      </c>
    </row>
    <row r="26" spans="2:10" ht="15">
      <c r="B26" s="437"/>
      <c r="C26" s="443"/>
      <c r="D26" s="99" t="s">
        <v>96</v>
      </c>
      <c r="E26" s="101">
        <f>'CUOTA INDUSTRIAL'!L63</f>
        <v>24276.996999999996</v>
      </c>
      <c r="F26" s="101">
        <f>'CUOTA INDUSTRIAL'!M63</f>
        <v>-17937.918999999994</v>
      </c>
      <c r="G26" s="101">
        <f>'CUOTA INDUSTRIAL'!N63</f>
        <v>6339.0780000000013</v>
      </c>
      <c r="H26" s="101">
        <f>SUM('CUOTA INDUSTRIAL'!I63:I64)</f>
        <v>4788.4070000000002</v>
      </c>
      <c r="I26" s="101">
        <f>'CUOTA INDUSTRIAL'!P63</f>
        <v>1550.6710000000012</v>
      </c>
      <c r="J26" s="234">
        <f t="shared" si="0"/>
        <v>0.7553790945623321</v>
      </c>
    </row>
    <row r="27" spans="2:10" ht="15">
      <c r="B27" s="437"/>
      <c r="C27" s="443"/>
      <c r="D27" s="99" t="s">
        <v>95</v>
      </c>
      <c r="E27" s="101">
        <f>'CUOTA INDUSTRIAL'!L121</f>
        <v>520777.07199999999</v>
      </c>
      <c r="F27" s="101">
        <f>'CUOTA INDUSTRIAL'!M121</f>
        <v>36090.914000000004</v>
      </c>
      <c r="G27" s="101">
        <f>E27+F27</f>
        <v>556867.98600000003</v>
      </c>
      <c r="H27" s="101">
        <f>'CUOTA INDUSTRIAL'!O121</f>
        <v>512287.51800000004</v>
      </c>
      <c r="I27" s="101">
        <f>G27-H27</f>
        <v>44580.467999999993</v>
      </c>
      <c r="J27" s="234">
        <f t="shared" si="0"/>
        <v>0.91994427921737276</v>
      </c>
    </row>
    <row r="28" spans="2:10" ht="15">
      <c r="B28" s="437"/>
      <c r="C28" s="443"/>
      <c r="D28" s="99" t="s">
        <v>97</v>
      </c>
      <c r="E28" s="101">
        <f>'CUOTA INDUSTRIAL'!L167</f>
        <v>72521.994999999995</v>
      </c>
      <c r="F28" s="101">
        <f>'CUOTA INDUSTRIAL'!M167</f>
        <v>-29999.839999999986</v>
      </c>
      <c r="G28" s="101">
        <f>'CUOTA INDUSTRIAL'!N167</f>
        <v>42522.155000000013</v>
      </c>
      <c r="H28" s="101">
        <f>'CUOTA INDUSTRIAL'!O167</f>
        <v>9707.478000000001</v>
      </c>
      <c r="I28" s="101">
        <f>'CUOTA INDUSTRIAL'!P167</f>
        <v>32814.677000000011</v>
      </c>
      <c r="J28" s="234">
        <f t="shared" si="0"/>
        <v>0.22829223965718573</v>
      </c>
    </row>
    <row r="29" spans="2:10" ht="12" hidden="1" customHeight="1">
      <c r="B29" s="437"/>
      <c r="C29"/>
      <c r="D29"/>
      <c r="E29" s="102">
        <f>SUM(E6:E28)</f>
        <v>824272.09399999992</v>
      </c>
      <c r="F29">
        <f>SUM(F6:F28)</f>
        <v>0.23400000002220622</v>
      </c>
      <c r="G29"/>
      <c r="H29"/>
      <c r="I29" s="103">
        <f>+G29-H29</f>
        <v>0</v>
      </c>
      <c r="J29" s="234" t="e">
        <f t="shared" si="0"/>
        <v>#DIV/0!</v>
      </c>
    </row>
    <row r="30" spans="2:10" ht="15">
      <c r="B30" s="438"/>
      <c r="C30" s="434" t="s">
        <v>68</v>
      </c>
      <c r="D30" s="435"/>
      <c r="E30" s="104">
        <f>E6+E7+E8+E9+E10+E11+E12+E13+E14+E15+E16+E17+E18+E19+E20+E21+E22+E24+E25+E26+E27+E28</f>
        <v>824252.09399999992</v>
      </c>
      <c r="F30" s="105">
        <f>SUM(F6:F28)</f>
        <v>0.23400000002220622</v>
      </c>
      <c r="G30" s="105">
        <f>'CUOTA INDUSTRIAL'!F172+E30+F30</f>
        <v>824252.32799999998</v>
      </c>
      <c r="H30" s="106">
        <f>SUM(H6:H28)</f>
        <v>714385.38300000003</v>
      </c>
      <c r="I30" s="105">
        <f>+G30-H30</f>
        <v>109866.94499999995</v>
      </c>
      <c r="J30" s="234">
        <f t="shared" si="0"/>
        <v>0.86670714626116296</v>
      </c>
    </row>
    <row r="31" spans="2:10" ht="15">
      <c r="B31"/>
      <c r="C31"/>
      <c r="D31" s="107" t="s">
        <v>142</v>
      </c>
      <c r="E31" s="108"/>
      <c r="F31" s="102"/>
      <c r="G31" s="108"/>
      <c r="H31" s="108"/>
      <c r="I31" s="108"/>
      <c r="J31" s="108"/>
    </row>
    <row r="32" spans="2:10" ht="15">
      <c r="B32"/>
      <c r="C32"/>
      <c r="D32"/>
      <c r="E32" s="107"/>
      <c r="F32" s="109"/>
      <c r="G32"/>
      <c r="H32"/>
      <c r="I32"/>
      <c r="J32"/>
    </row>
    <row r="33" spans="1:13" ht="15">
      <c r="B33"/>
      <c r="C33" s="110"/>
      <c r="D33"/>
      <c r="E33"/>
      <c r="F33"/>
      <c r="G33"/>
      <c r="H33"/>
      <c r="I33"/>
      <c r="J33"/>
    </row>
    <row r="34" spans="1:13" ht="15">
      <c r="B34"/>
      <c r="C34"/>
      <c r="D34"/>
      <c r="E34"/>
      <c r="F34"/>
      <c r="G34"/>
      <c r="H34"/>
      <c r="I34"/>
      <c r="J34"/>
      <c r="M34" s="8" t="s">
        <v>436</v>
      </c>
    </row>
    <row r="35" spans="1:13" ht="15">
      <c r="B35"/>
      <c r="C35" s="439" t="s">
        <v>140</v>
      </c>
      <c r="D35" s="440"/>
      <c r="E35" s="440"/>
      <c r="F35" s="440"/>
      <c r="G35" s="440"/>
      <c r="H35" s="440"/>
      <c r="I35" s="441"/>
      <c r="J35"/>
    </row>
    <row r="36" spans="1:13" ht="15">
      <c r="B36"/>
      <c r="C36" s="424" t="s">
        <v>98</v>
      </c>
      <c r="D36" s="424" t="s">
        <v>77</v>
      </c>
      <c r="E36" s="425" t="s">
        <v>80</v>
      </c>
      <c r="F36" s="425"/>
      <c r="G36" s="426" t="s">
        <v>136</v>
      </c>
      <c r="H36" s="425" t="s">
        <v>81</v>
      </c>
      <c r="I36" s="424" t="s">
        <v>64</v>
      </c>
      <c r="J36"/>
    </row>
    <row r="37" spans="1:13" ht="15">
      <c r="A37" s="18"/>
      <c r="B37"/>
      <c r="C37" s="424"/>
      <c r="D37" s="424"/>
      <c r="E37" s="111" t="s">
        <v>18</v>
      </c>
      <c r="F37" s="111" t="s">
        <v>20</v>
      </c>
      <c r="G37" s="427"/>
      <c r="H37" s="425"/>
      <c r="I37" s="424"/>
      <c r="J37"/>
    </row>
    <row r="38" spans="1:13" ht="15">
      <c r="B38"/>
      <c r="C38" s="1" t="s">
        <v>138</v>
      </c>
      <c r="D38" s="1">
        <v>20</v>
      </c>
      <c r="E38" s="112"/>
      <c r="F38" s="113"/>
      <c r="G38" s="114"/>
      <c r="H38" s="3">
        <f>D38-G38</f>
        <v>20</v>
      </c>
      <c r="I38" s="85">
        <f>G38/D38</f>
        <v>0</v>
      </c>
      <c r="J38"/>
    </row>
    <row r="39" spans="1:13" ht="15">
      <c r="B39"/>
      <c r="C39" s="6"/>
      <c r="D39" s="6"/>
      <c r="E39" s="6"/>
      <c r="F39" s="115"/>
      <c r="G39" s="115"/>
      <c r="H39" s="6"/>
      <c r="I39" s="86"/>
      <c r="J39"/>
    </row>
    <row r="40" spans="1:13" ht="15">
      <c r="B40"/>
      <c r="C40" s="6"/>
      <c r="D40" s="6"/>
      <c r="E40" s="6"/>
      <c r="F40" s="115"/>
      <c r="G40" s="115"/>
      <c r="H40" s="6"/>
      <c r="I40" s="86"/>
      <c r="J40"/>
    </row>
    <row r="41" spans="1:13" ht="15">
      <c r="B41"/>
      <c r="C41"/>
      <c r="D41"/>
      <c r="E41"/>
      <c r="F41"/>
      <c r="G41"/>
      <c r="H41"/>
      <c r="I41"/>
      <c r="J41"/>
    </row>
    <row r="42" spans="1:13" ht="15">
      <c r="B42"/>
      <c r="C42" s="423" t="s">
        <v>74</v>
      </c>
      <c r="D42" s="423"/>
      <c r="E42" s="423"/>
      <c r="F42" s="423"/>
      <c r="G42" s="423"/>
      <c r="H42" s="423"/>
      <c r="I42" s="423"/>
      <c r="J42"/>
    </row>
    <row r="43" spans="1:13" ht="15">
      <c r="B43"/>
      <c r="C43" s="424" t="s">
        <v>128</v>
      </c>
      <c r="D43" s="424" t="s">
        <v>77</v>
      </c>
      <c r="E43" s="425" t="s">
        <v>80</v>
      </c>
      <c r="F43" s="425"/>
      <c r="G43" s="426" t="s">
        <v>136</v>
      </c>
      <c r="H43" s="425" t="s">
        <v>81</v>
      </c>
      <c r="I43" s="424" t="s">
        <v>64</v>
      </c>
      <c r="J43"/>
    </row>
    <row r="44" spans="1:13" ht="15">
      <c r="B44"/>
      <c r="C44" s="424"/>
      <c r="D44" s="424"/>
      <c r="E44" s="111" t="s">
        <v>18</v>
      </c>
      <c r="F44" s="111" t="s">
        <v>20</v>
      </c>
      <c r="G44" s="427"/>
      <c r="H44" s="425"/>
      <c r="I44" s="424"/>
      <c r="J44"/>
    </row>
    <row r="45" spans="1:13" ht="15">
      <c r="B45"/>
      <c r="C45" s="1" t="s">
        <v>39</v>
      </c>
      <c r="D45" s="1">
        <v>150</v>
      </c>
      <c r="E45" s="1"/>
      <c r="F45" s="113"/>
      <c r="G45" s="97"/>
      <c r="H45" s="116">
        <f>D45-G45</f>
        <v>150</v>
      </c>
      <c r="I45" s="84">
        <f>G45/D45</f>
        <v>0</v>
      </c>
      <c r="J45"/>
    </row>
    <row r="50" spans="3:4">
      <c r="C50" s="18"/>
      <c r="D50" s="18"/>
    </row>
    <row r="51" spans="3:4">
      <c r="C51" s="18"/>
    </row>
    <row r="52" spans="3:4">
      <c r="C52" s="18"/>
    </row>
  </sheetData>
  <mergeCells count="21">
    <mergeCell ref="H36:H37"/>
    <mergeCell ref="I36:I37"/>
    <mergeCell ref="B2:J2"/>
    <mergeCell ref="B3:J3"/>
    <mergeCell ref="C30:D30"/>
    <mergeCell ref="B6:B30"/>
    <mergeCell ref="C35:I35"/>
    <mergeCell ref="B4:J4"/>
    <mergeCell ref="G36:G37"/>
    <mergeCell ref="C25:C28"/>
    <mergeCell ref="C6:C24"/>
    <mergeCell ref="E36:F36"/>
    <mergeCell ref="C36:C37"/>
    <mergeCell ref="D36:D37"/>
    <mergeCell ref="C42:I42"/>
    <mergeCell ref="C43:C44"/>
    <mergeCell ref="D43:D44"/>
    <mergeCell ref="E43:F43"/>
    <mergeCell ref="H43:H44"/>
    <mergeCell ref="I43:I44"/>
    <mergeCell ref="G43:G44"/>
  </mergeCells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{851E83ED-F1F8-4703-9D9D-C01093BB2744}</x14:id>
        </ext>
      </extLst>
    </cfRule>
  </conditionalFormatting>
  <pageMargins left="0.7" right="0.7" top="0.75" bottom="0.75" header="0.3" footer="0.3"/>
  <pageSetup paperSize="17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1E83ED-F1F8-4703-9D9D-C01093BB27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3"/>
  <sheetViews>
    <sheetView showGridLines="0" topLeftCell="A19" zoomScale="110" zoomScaleNormal="110" zoomScaleSheetLayoutView="100" workbookViewId="0">
      <selection activeCell="H38" sqref="H38"/>
    </sheetView>
  </sheetViews>
  <sheetFormatPr baseColWidth="10" defaultColWidth="11.42578125" defaultRowHeight="12"/>
  <cols>
    <col min="1" max="1" width="5.140625" style="10" customWidth="1"/>
    <col min="2" max="2" width="36" style="10" bestFit="1" customWidth="1"/>
    <col min="3" max="3" width="47.7109375" style="10" customWidth="1"/>
    <col min="4" max="4" width="14.85546875" style="10" customWidth="1"/>
    <col min="5" max="5" width="12.42578125" style="10" bestFit="1" customWidth="1"/>
    <col min="6" max="6" width="15.5703125" style="10" bestFit="1" customWidth="1"/>
    <col min="7" max="7" width="21.7109375" style="10" bestFit="1" customWidth="1"/>
    <col min="8" max="8" width="16.5703125" style="259" bestFit="1" customWidth="1"/>
    <col min="9" max="9" width="12.42578125" style="10" bestFit="1" customWidth="1"/>
    <col min="10" max="10" width="14.140625" style="10" customWidth="1"/>
    <col min="11" max="11" width="36.85546875" style="10" customWidth="1"/>
    <col min="12" max="16384" width="11.42578125" style="10"/>
  </cols>
  <sheetData>
    <row r="2" spans="1:11" ht="26.25" customHeight="1">
      <c r="B2" s="449" t="s">
        <v>186</v>
      </c>
      <c r="C2" s="450"/>
      <c r="D2" s="450"/>
      <c r="E2" s="450"/>
      <c r="F2" s="450"/>
      <c r="G2" s="450"/>
      <c r="H2" s="450"/>
      <c r="I2" s="450"/>
      <c r="J2" s="450"/>
    </row>
    <row r="3" spans="1:11" ht="24" customHeight="1">
      <c r="B3" s="451">
        <f>RESUMEN!B3</f>
        <v>45481</v>
      </c>
      <c r="C3" s="452"/>
      <c r="D3" s="452"/>
      <c r="E3" s="452"/>
      <c r="F3" s="452"/>
      <c r="G3" s="452"/>
      <c r="H3" s="452"/>
      <c r="I3" s="452"/>
      <c r="J3" s="452"/>
    </row>
    <row r="4" spans="1:11" ht="22.5" customHeight="1" thickBot="1">
      <c r="B4" s="447"/>
      <c r="C4" s="448"/>
      <c r="D4" s="448"/>
      <c r="E4" s="448"/>
      <c r="F4" s="448"/>
      <c r="G4" s="448"/>
      <c r="H4" s="448"/>
      <c r="I4" s="448"/>
      <c r="J4" s="448"/>
    </row>
    <row r="5" spans="1:11" ht="36.75" thickBot="1">
      <c r="B5" s="154" t="s">
        <v>42</v>
      </c>
      <c r="C5" s="155" t="s">
        <v>100</v>
      </c>
      <c r="D5" s="155" t="s">
        <v>101</v>
      </c>
      <c r="E5" s="155" t="s">
        <v>77</v>
      </c>
      <c r="F5" s="155" t="s">
        <v>78</v>
      </c>
      <c r="G5" s="155" t="s">
        <v>79</v>
      </c>
      <c r="H5" s="155" t="s">
        <v>80</v>
      </c>
      <c r="I5" s="155" t="s">
        <v>81</v>
      </c>
      <c r="J5" s="155" t="s">
        <v>64</v>
      </c>
      <c r="K5" s="155" t="s">
        <v>133</v>
      </c>
    </row>
    <row r="6" spans="1:11" ht="15" customHeight="1" thickBot="1">
      <c r="B6" s="44" t="s">
        <v>102</v>
      </c>
      <c r="C6" s="39" t="s">
        <v>113</v>
      </c>
      <c r="D6" s="40" t="s">
        <v>183</v>
      </c>
      <c r="E6" s="41">
        <v>2953</v>
      </c>
      <c r="F6" s="41"/>
      <c r="G6" s="41">
        <f>E6+F6</f>
        <v>2953</v>
      </c>
      <c r="H6" s="134">
        <v>2918.277</v>
      </c>
      <c r="I6" s="41">
        <f>G6-H6</f>
        <v>34.722999999999956</v>
      </c>
      <c r="J6" s="242">
        <f>H6/G6</f>
        <v>0.98824144937351843</v>
      </c>
      <c r="K6" s="258">
        <v>45345</v>
      </c>
    </row>
    <row r="7" spans="1:11" ht="15.95" customHeight="1" thickBot="1">
      <c r="B7" s="13"/>
      <c r="C7" s="20"/>
      <c r="E7" s="11"/>
      <c r="F7" s="11"/>
      <c r="G7" s="11"/>
      <c r="H7" s="135"/>
      <c r="I7" s="11"/>
      <c r="J7" s="12"/>
    </row>
    <row r="8" spans="1:11" ht="12.75" thickBot="1">
      <c r="B8" s="38" t="s">
        <v>103</v>
      </c>
      <c r="C8" s="39" t="s">
        <v>114</v>
      </c>
      <c r="D8" s="40" t="s">
        <v>181</v>
      </c>
      <c r="E8" s="41">
        <v>2952</v>
      </c>
      <c r="F8" s="41"/>
      <c r="G8" s="41">
        <f>E8+F8</f>
        <v>2952</v>
      </c>
      <c r="H8" s="134">
        <v>3064.4140000000002</v>
      </c>
      <c r="I8" s="41">
        <f>G8-H8</f>
        <v>-112.41400000000021</v>
      </c>
      <c r="J8" s="242">
        <f>H8/G8</f>
        <v>1.0380806233062332</v>
      </c>
      <c r="K8" s="258">
        <v>45337</v>
      </c>
    </row>
    <row r="9" spans="1:11" ht="15.95" customHeight="1" thickBot="1">
      <c r="B9" s="13"/>
      <c r="C9" s="20"/>
      <c r="E9" s="11"/>
      <c r="F9" s="11"/>
      <c r="G9" s="11"/>
      <c r="H9" s="135"/>
      <c r="I9" s="11" t="s">
        <v>142</v>
      </c>
      <c r="J9" s="12"/>
    </row>
    <row r="10" spans="1:11" ht="12.75" thickBot="1">
      <c r="B10" s="38" t="s">
        <v>14</v>
      </c>
      <c r="C10" s="39" t="s">
        <v>115</v>
      </c>
      <c r="D10" s="40" t="s">
        <v>145</v>
      </c>
      <c r="E10" s="41">
        <v>150</v>
      </c>
      <c r="F10" s="41"/>
      <c r="G10" s="41">
        <f>E10+F10</f>
        <v>150</v>
      </c>
      <c r="H10" s="134">
        <f>34.678</f>
        <v>34.677999999999997</v>
      </c>
      <c r="I10" s="41">
        <f>G10-H10</f>
        <v>115.322</v>
      </c>
      <c r="J10" s="242">
        <f>H10/G10</f>
        <v>0.23118666666666665</v>
      </c>
      <c r="K10" s="243" t="s">
        <v>56</v>
      </c>
    </row>
    <row r="11" spans="1:11" ht="15.75" customHeight="1" thickBot="1">
      <c r="B11" s="13"/>
      <c r="C11" s="20"/>
      <c r="E11" s="11"/>
      <c r="F11" s="11"/>
      <c r="G11" s="11"/>
      <c r="H11" s="135"/>
      <c r="I11" s="11"/>
      <c r="J11" s="12"/>
    </row>
    <row r="12" spans="1:11" ht="12.75" thickBot="1">
      <c r="B12" s="38" t="s">
        <v>104</v>
      </c>
      <c r="C12" s="39" t="s">
        <v>116</v>
      </c>
      <c r="D12" s="40" t="s">
        <v>181</v>
      </c>
      <c r="E12" s="41">
        <v>7613</v>
      </c>
      <c r="F12" s="41">
        <v>4121</v>
      </c>
      <c r="G12" s="41">
        <f>E12+F12</f>
        <v>11734</v>
      </c>
      <c r="H12" s="134">
        <v>11324</v>
      </c>
      <c r="I12" s="41">
        <f>G12-H12</f>
        <v>410</v>
      </c>
      <c r="J12" s="244">
        <f>H12/G12</f>
        <v>0.96505880347707518</v>
      </c>
      <c r="K12" s="258"/>
    </row>
    <row r="13" spans="1:11">
      <c r="B13" s="13"/>
      <c r="C13" s="13"/>
      <c r="E13" s="11"/>
      <c r="F13" s="11"/>
      <c r="G13" s="11"/>
      <c r="H13" s="136"/>
      <c r="I13" s="11"/>
      <c r="J13" s="12"/>
    </row>
    <row r="14" spans="1:11" ht="15.75" customHeight="1" thickBot="1">
      <c r="B14" s="13"/>
      <c r="C14" s="241"/>
      <c r="E14" s="11" t="s">
        <v>142</v>
      </c>
      <c r="F14" s="11"/>
      <c r="G14" s="11"/>
      <c r="H14" s="136"/>
      <c r="I14" s="11"/>
      <c r="J14" s="12"/>
    </row>
    <row r="15" spans="1:11" ht="12.75" thickBot="1">
      <c r="A15" s="47">
        <v>1</v>
      </c>
      <c r="B15" s="456" t="s">
        <v>105</v>
      </c>
      <c r="C15" s="260" t="s">
        <v>2</v>
      </c>
      <c r="D15" s="37" t="s">
        <v>181</v>
      </c>
      <c r="E15" s="32">
        <v>1802.9490000000001</v>
      </c>
      <c r="F15" s="32">
        <f>-1700+418.259</f>
        <v>-1281.741</v>
      </c>
      <c r="G15" s="32">
        <f>E15+F15</f>
        <v>521.20800000000008</v>
      </c>
      <c r="H15" s="133">
        <v>165.65700000000001</v>
      </c>
      <c r="I15" s="32">
        <f>G15-H15</f>
        <v>355.55100000000004</v>
      </c>
      <c r="J15" s="153">
        <f>H15/G15</f>
        <v>0.31783280379426254</v>
      </c>
      <c r="K15" s="233" t="s">
        <v>56</v>
      </c>
    </row>
    <row r="16" spans="1:11" ht="12.75" thickBot="1">
      <c r="A16" s="47">
        <v>2</v>
      </c>
      <c r="B16" s="457"/>
      <c r="C16" s="261" t="s">
        <v>3</v>
      </c>
      <c r="D16" s="233" t="s">
        <v>181</v>
      </c>
      <c r="E16" s="142">
        <v>11387.459000000001</v>
      </c>
      <c r="F16" s="142">
        <v>2641.7310000000002</v>
      </c>
      <c r="G16" s="142">
        <f>E16+F16</f>
        <v>14029.19</v>
      </c>
      <c r="H16" s="175">
        <v>10871.108</v>
      </c>
      <c r="I16" s="32">
        <f t="shared" ref="I16:I18" si="0">G16-H16</f>
        <v>3158.0820000000003</v>
      </c>
      <c r="J16" s="245">
        <f>H16/G16</f>
        <v>0.77489206433158297</v>
      </c>
      <c r="K16" s="233" t="s">
        <v>56</v>
      </c>
    </row>
    <row r="17" spans="1:11" ht="12.75" thickBot="1">
      <c r="A17" s="47"/>
      <c r="B17" s="457"/>
      <c r="C17" s="261" t="s">
        <v>204</v>
      </c>
      <c r="D17" s="233" t="s">
        <v>181</v>
      </c>
      <c r="E17" s="142">
        <v>455.03500000000003</v>
      </c>
      <c r="F17" s="142">
        <v>-455.03500000000003</v>
      </c>
      <c r="G17" s="142">
        <f>E17+F17</f>
        <v>0</v>
      </c>
      <c r="H17" s="175">
        <v>1.5</v>
      </c>
      <c r="I17" s="32">
        <f t="shared" si="0"/>
        <v>-1.5</v>
      </c>
      <c r="J17" s="245">
        <f>(F17/E17)*-1</f>
        <v>1</v>
      </c>
      <c r="K17" s="267">
        <v>45385</v>
      </c>
    </row>
    <row r="18" spans="1:11" ht="12.75" thickBot="1">
      <c r="A18" s="47"/>
      <c r="B18" s="458"/>
      <c r="C18" s="262" t="s">
        <v>4</v>
      </c>
      <c r="D18" s="239" t="s">
        <v>181</v>
      </c>
      <c r="E18" s="140">
        <v>4118.5569999999998</v>
      </c>
      <c r="F18" s="140">
        <v>955.44799999999998</v>
      </c>
      <c r="G18" s="140">
        <f>E18+F18</f>
        <v>5074.0050000000001</v>
      </c>
      <c r="H18" s="240">
        <v>4438.982</v>
      </c>
      <c r="I18" s="32">
        <f t="shared" si="0"/>
        <v>635.02300000000014</v>
      </c>
      <c r="J18" s="246">
        <f>H18/G18</f>
        <v>0.87484777803727032</v>
      </c>
      <c r="K18" s="257" t="s">
        <v>56</v>
      </c>
    </row>
    <row r="19" spans="1:11">
      <c r="B19" s="13"/>
      <c r="C19" s="21"/>
      <c r="D19" s="236"/>
      <c r="E19" s="237"/>
      <c r="F19" s="11"/>
      <c r="G19" s="11"/>
      <c r="H19" s="135"/>
      <c r="I19" s="11"/>
      <c r="J19" s="12"/>
    </row>
    <row r="20" spans="1:11" ht="15.75" customHeight="1" thickBot="1">
      <c r="B20" s="13"/>
      <c r="C20" s="21"/>
      <c r="D20" s="236"/>
      <c r="E20" s="237" t="s">
        <v>142</v>
      </c>
      <c r="F20" s="237"/>
      <c r="G20" s="11"/>
      <c r="H20" s="136"/>
      <c r="I20" s="11"/>
      <c r="J20" s="12"/>
    </row>
    <row r="21" spans="1:11" ht="12.75" thickBot="1">
      <c r="A21" s="47">
        <v>5</v>
      </c>
      <c r="B21" s="453" t="s">
        <v>106</v>
      </c>
      <c r="C21" s="263" t="s">
        <v>5</v>
      </c>
      <c r="D21" s="37" t="s">
        <v>181</v>
      </c>
      <c r="E21" s="32">
        <v>6808.4880000000003</v>
      </c>
      <c r="F21" s="32">
        <v>-6808.4880000000003</v>
      </c>
      <c r="G21" s="32">
        <f t="shared" ref="G21:G26" si="1">E21+F21</f>
        <v>0</v>
      </c>
      <c r="H21" s="133"/>
      <c r="I21" s="32">
        <f>G21-H21</f>
        <v>0</v>
      </c>
      <c r="J21" s="153">
        <f>(F21/E21)*-1</f>
        <v>1</v>
      </c>
      <c r="K21" s="267">
        <v>45386</v>
      </c>
    </row>
    <row r="22" spans="1:11" ht="12.75" thickBot="1">
      <c r="A22" s="47">
        <v>6</v>
      </c>
      <c r="B22" s="454"/>
      <c r="C22" s="264" t="s">
        <v>62</v>
      </c>
      <c r="D22" s="233" t="s">
        <v>181</v>
      </c>
      <c r="E22" s="142">
        <v>116.312</v>
      </c>
      <c r="F22" s="142">
        <f>-115.312-1</f>
        <v>-116.312</v>
      </c>
      <c r="G22" s="142">
        <f t="shared" si="1"/>
        <v>0</v>
      </c>
      <c r="H22" s="175"/>
      <c r="I22" s="32">
        <f t="shared" ref="I22:I26" si="2">G22-H22</f>
        <v>0</v>
      </c>
      <c r="J22" s="153">
        <f>(F22/E22)*-1</f>
        <v>1</v>
      </c>
      <c r="K22" s="267">
        <v>45386</v>
      </c>
    </row>
    <row r="23" spans="1:11" ht="12.75" thickBot="1">
      <c r="A23" s="47">
        <v>7</v>
      </c>
      <c r="B23" s="454"/>
      <c r="C23" s="264" t="s">
        <v>139</v>
      </c>
      <c r="D23" s="233" t="s">
        <v>181</v>
      </c>
      <c r="E23" s="142">
        <v>3.4550000000000001</v>
      </c>
      <c r="F23" s="142"/>
      <c r="G23" s="142">
        <f t="shared" si="1"/>
        <v>3.4550000000000001</v>
      </c>
      <c r="H23" s="175">
        <v>0.05</v>
      </c>
      <c r="I23" s="32">
        <f t="shared" si="2"/>
        <v>3.4050000000000002</v>
      </c>
      <c r="J23" s="245">
        <f>H23/G23</f>
        <v>1.4471780028943561E-2</v>
      </c>
      <c r="K23" s="233" t="s">
        <v>56</v>
      </c>
    </row>
    <row r="24" spans="1:11" ht="12.75" thickBot="1">
      <c r="A24" s="47">
        <v>8</v>
      </c>
      <c r="B24" s="454"/>
      <c r="C24" s="264" t="s">
        <v>61</v>
      </c>
      <c r="D24" s="233" t="s">
        <v>181</v>
      </c>
      <c r="E24" s="142">
        <v>237.23500000000001</v>
      </c>
      <c r="F24" s="142">
        <v>-225</v>
      </c>
      <c r="G24" s="142">
        <f t="shared" si="1"/>
        <v>12.235000000000014</v>
      </c>
      <c r="H24" s="175">
        <v>0.47499999999999998</v>
      </c>
      <c r="I24" s="32">
        <f t="shared" si="2"/>
        <v>11.760000000000014</v>
      </c>
      <c r="J24" s="245">
        <f t="shared" ref="J24:J26" si="3">H24/G24</f>
        <v>3.8823048630976659E-2</v>
      </c>
      <c r="K24" s="233" t="s">
        <v>56</v>
      </c>
    </row>
    <row r="25" spans="1:11" ht="12" customHeight="1" thickBot="1">
      <c r="A25" s="47">
        <v>9</v>
      </c>
      <c r="B25" s="454"/>
      <c r="C25" s="264" t="s">
        <v>6</v>
      </c>
      <c r="D25" s="233" t="s">
        <v>181</v>
      </c>
      <c r="E25" s="142">
        <v>181.85499999999999</v>
      </c>
      <c r="F25" s="142"/>
      <c r="G25" s="142">
        <f t="shared" si="1"/>
        <v>181.85499999999999</v>
      </c>
      <c r="H25" s="175"/>
      <c r="I25" s="32">
        <f t="shared" si="2"/>
        <v>181.85499999999999</v>
      </c>
      <c r="J25" s="245">
        <f t="shared" si="3"/>
        <v>0</v>
      </c>
      <c r="K25" s="233" t="s">
        <v>56</v>
      </c>
    </row>
    <row r="26" spans="1:11" ht="12" customHeight="1" thickBot="1">
      <c r="A26" s="47">
        <v>10</v>
      </c>
      <c r="B26" s="455"/>
      <c r="C26" s="238" t="s">
        <v>4</v>
      </c>
      <c r="D26" s="239" t="s">
        <v>181</v>
      </c>
      <c r="E26" s="140">
        <v>1015.6559999999999</v>
      </c>
      <c r="F26" s="140"/>
      <c r="G26" s="140">
        <f t="shared" si="1"/>
        <v>1015.6559999999999</v>
      </c>
      <c r="H26" s="240">
        <v>44.820999999999998</v>
      </c>
      <c r="I26" s="32">
        <f t="shared" si="2"/>
        <v>970.83499999999992</v>
      </c>
      <c r="J26" s="246">
        <f t="shared" si="3"/>
        <v>4.4130099167434642E-2</v>
      </c>
      <c r="K26" s="233" t="s">
        <v>56</v>
      </c>
    </row>
    <row r="27" spans="1:11">
      <c r="B27" s="13"/>
      <c r="C27" s="21"/>
      <c r="E27" s="11"/>
      <c r="F27" s="11"/>
      <c r="G27" s="11"/>
      <c r="H27" s="135"/>
      <c r="I27" s="11"/>
      <c r="J27" s="12"/>
    </row>
    <row r="28" spans="1:11" ht="15.75" customHeight="1" thickBot="1">
      <c r="B28" s="13"/>
      <c r="C28" s="43"/>
      <c r="E28" s="11"/>
      <c r="F28" s="36"/>
      <c r="G28" s="36"/>
      <c r="H28" s="136"/>
      <c r="I28" s="11"/>
      <c r="J28" s="12"/>
    </row>
    <row r="29" spans="1:11">
      <c r="B29" s="138" t="s">
        <v>107</v>
      </c>
      <c r="C29" s="141" t="s">
        <v>117</v>
      </c>
      <c r="D29" s="37" t="s">
        <v>181</v>
      </c>
      <c r="E29" s="32">
        <v>32</v>
      </c>
      <c r="F29" s="32"/>
      <c r="G29" s="32">
        <f>E29+F29</f>
        <v>32</v>
      </c>
      <c r="H29" s="133">
        <v>30.43</v>
      </c>
      <c r="I29" s="32">
        <f>G29-H29</f>
        <v>1.5700000000000003</v>
      </c>
      <c r="J29" s="33">
        <f>H29/G29</f>
        <v>0.95093749999999999</v>
      </c>
      <c r="K29" s="233" t="s">
        <v>56</v>
      </c>
    </row>
    <row r="30" spans="1:11" ht="15.75" customHeight="1" thickBot="1">
      <c r="B30" s="13"/>
      <c r="C30" s="21"/>
      <c r="E30" s="11"/>
      <c r="F30" s="11"/>
      <c r="G30" s="11"/>
      <c r="H30" s="136"/>
      <c r="I30" s="11"/>
      <c r="J30" s="12"/>
    </row>
    <row r="31" spans="1:11" ht="12.75" thickBot="1">
      <c r="B31" s="38" t="s">
        <v>108</v>
      </c>
      <c r="C31" s="151" t="s">
        <v>118</v>
      </c>
      <c r="D31" s="40" t="s">
        <v>181</v>
      </c>
      <c r="E31" s="41">
        <v>273</v>
      </c>
      <c r="F31" s="41"/>
      <c r="G31" s="41">
        <f>E31+F31</f>
        <v>273</v>
      </c>
      <c r="H31" s="134">
        <v>274.334</v>
      </c>
      <c r="I31" s="41">
        <f>G31-H31</f>
        <v>-1.3340000000000032</v>
      </c>
      <c r="J31" s="42">
        <f>H31/G31</f>
        <v>1.0048864468864469</v>
      </c>
      <c r="K31" s="368">
        <v>45447</v>
      </c>
    </row>
    <row r="32" spans="1:11" ht="15.75" customHeight="1" thickBot="1">
      <c r="B32" s="13"/>
      <c r="C32" s="21"/>
      <c r="E32" s="11"/>
      <c r="F32" s="11"/>
      <c r="G32" s="11"/>
      <c r="H32" s="136"/>
      <c r="I32" s="11"/>
      <c r="J32" s="12"/>
    </row>
    <row r="33" spans="1:11" ht="12" customHeight="1" thickBot="1">
      <c r="B33" s="38" t="s">
        <v>109</v>
      </c>
      <c r="C33" s="151" t="s">
        <v>119</v>
      </c>
      <c r="D33" s="40" t="s">
        <v>181</v>
      </c>
      <c r="E33" s="41">
        <v>17820</v>
      </c>
      <c r="F33" s="41"/>
      <c r="G33" s="41">
        <f>E33+F33</f>
        <v>17820</v>
      </c>
      <c r="H33" s="134">
        <v>20575.974999999999</v>
      </c>
      <c r="I33" s="41">
        <f>G33-H33</f>
        <v>-2755.9749999999985</v>
      </c>
      <c r="J33" s="42">
        <f>H33/G33</f>
        <v>1.1546562850729516</v>
      </c>
      <c r="K33" s="257">
        <v>45297</v>
      </c>
    </row>
    <row r="34" spans="1:11" ht="15.75" customHeight="1" thickBot="1">
      <c r="B34" s="13"/>
      <c r="C34" s="21"/>
      <c r="E34" s="11"/>
      <c r="F34" s="11"/>
      <c r="G34" s="11"/>
      <c r="H34" s="136"/>
      <c r="I34" s="11"/>
      <c r="J34" s="12"/>
    </row>
    <row r="35" spans="1:11" ht="12.75" thickBot="1">
      <c r="B35" s="152" t="s">
        <v>110</v>
      </c>
      <c r="C35" s="44" t="s">
        <v>120</v>
      </c>
      <c r="D35" s="40" t="s">
        <v>181</v>
      </c>
      <c r="E35" s="41">
        <v>401</v>
      </c>
      <c r="F35" s="41"/>
      <c r="G35" s="41">
        <f>E35+F35</f>
        <v>401</v>
      </c>
      <c r="H35" s="134">
        <v>11.369</v>
      </c>
      <c r="I35" s="41">
        <f>G35-H35</f>
        <v>389.63099999999997</v>
      </c>
      <c r="J35" s="42">
        <f>H35/G35</f>
        <v>2.8351620947630923E-2</v>
      </c>
      <c r="K35" s="233" t="s">
        <v>56</v>
      </c>
    </row>
    <row r="36" spans="1:11" ht="15.75" customHeight="1" thickBot="1">
      <c r="B36" s="13"/>
      <c r="C36" s="21"/>
      <c r="E36" s="11"/>
      <c r="F36" s="11"/>
      <c r="G36" s="11"/>
      <c r="H36" s="136"/>
      <c r="I36" s="11"/>
      <c r="J36" s="12"/>
    </row>
    <row r="37" spans="1:11" ht="12.75" thickBot="1">
      <c r="B37" s="38" t="s">
        <v>111</v>
      </c>
      <c r="C37" s="151" t="s">
        <v>121</v>
      </c>
      <c r="D37" s="40" t="s">
        <v>182</v>
      </c>
      <c r="E37" s="41">
        <v>2084</v>
      </c>
      <c r="F37" s="41"/>
      <c r="G37" s="41">
        <f>E37+F37</f>
        <v>2084</v>
      </c>
      <c r="H37" s="134">
        <v>2122.7139999999999</v>
      </c>
      <c r="I37" s="41">
        <f>G37-H37</f>
        <v>-38.713999999999942</v>
      </c>
      <c r="J37" s="42">
        <f>H37/G37</f>
        <v>1.0185767754318618</v>
      </c>
      <c r="K37" s="257">
        <v>45342</v>
      </c>
    </row>
    <row r="38" spans="1:11" ht="15.75" customHeight="1" thickBot="1">
      <c r="B38" s="13"/>
      <c r="C38" s="43"/>
      <c r="E38" s="11"/>
      <c r="F38" s="11"/>
      <c r="G38" s="11"/>
      <c r="H38" s="136"/>
      <c r="I38" s="11"/>
      <c r="J38" s="12"/>
    </row>
    <row r="39" spans="1:11">
      <c r="A39" s="47">
        <v>11</v>
      </c>
      <c r="B39" s="444" t="s">
        <v>112</v>
      </c>
      <c r="C39" s="144" t="s">
        <v>9</v>
      </c>
      <c r="D39" s="148" t="s">
        <v>181</v>
      </c>
      <c r="E39" s="199">
        <v>213.39599999999999</v>
      </c>
      <c r="F39" s="142"/>
      <c r="G39" s="142">
        <f>E39+F39</f>
        <v>213.39599999999999</v>
      </c>
      <c r="H39" s="175">
        <v>0.5</v>
      </c>
      <c r="I39" s="142">
        <f>G39-H39</f>
        <v>212.89599999999999</v>
      </c>
      <c r="J39" s="198">
        <f>H39/G39</f>
        <v>2.3430617256180999E-3</v>
      </c>
      <c r="K39" s="233" t="s">
        <v>56</v>
      </c>
    </row>
    <row r="40" spans="1:11">
      <c r="A40" s="47">
        <v>12</v>
      </c>
      <c r="B40" s="445"/>
      <c r="C40" s="145" t="s">
        <v>10</v>
      </c>
      <c r="D40" s="149" t="s">
        <v>181</v>
      </c>
      <c r="E40" s="199">
        <v>1008.174</v>
      </c>
      <c r="F40" s="142">
        <v>-1000</v>
      </c>
      <c r="G40" s="142">
        <f t="shared" ref="G40:G47" si="4">E40+F40</f>
        <v>8.1739999999999782</v>
      </c>
      <c r="H40" s="175"/>
      <c r="I40" s="142">
        <f t="shared" ref="I40:I47" si="5">G40-H40</f>
        <v>8.1739999999999782</v>
      </c>
      <c r="J40" s="198">
        <f t="shared" ref="J40:J42" si="6">H40/G40</f>
        <v>0</v>
      </c>
      <c r="K40" s="233" t="s">
        <v>56</v>
      </c>
    </row>
    <row r="41" spans="1:11" ht="15" customHeight="1">
      <c r="A41" s="47">
        <v>13</v>
      </c>
      <c r="B41" s="445"/>
      <c r="C41" s="145" t="s">
        <v>11</v>
      </c>
      <c r="D41" s="149" t="s">
        <v>181</v>
      </c>
      <c r="E41" s="199">
        <v>6154.835</v>
      </c>
      <c r="F41" s="142">
        <v>-5940</v>
      </c>
      <c r="G41" s="142">
        <f t="shared" si="4"/>
        <v>214.83500000000004</v>
      </c>
      <c r="H41" s="175"/>
      <c r="I41" s="142">
        <f t="shared" si="5"/>
        <v>214.83500000000004</v>
      </c>
      <c r="J41" s="198">
        <f t="shared" si="6"/>
        <v>0</v>
      </c>
      <c r="K41" s="233" t="s">
        <v>56</v>
      </c>
    </row>
    <row r="42" spans="1:11">
      <c r="A42" s="47">
        <v>14</v>
      </c>
      <c r="B42" s="445"/>
      <c r="C42" s="145" t="s">
        <v>12</v>
      </c>
      <c r="D42" s="149" t="s">
        <v>181</v>
      </c>
      <c r="E42" s="199">
        <v>1028.501</v>
      </c>
      <c r="F42" s="142">
        <v>-1000</v>
      </c>
      <c r="G42" s="142">
        <f t="shared" si="4"/>
        <v>28.500999999999976</v>
      </c>
      <c r="H42" s="175"/>
      <c r="I42" s="142">
        <f t="shared" si="5"/>
        <v>28.500999999999976</v>
      </c>
      <c r="J42" s="198">
        <f t="shared" si="6"/>
        <v>0</v>
      </c>
      <c r="K42" s="233" t="s">
        <v>56</v>
      </c>
    </row>
    <row r="43" spans="1:11">
      <c r="A43" s="47">
        <v>15</v>
      </c>
      <c r="B43" s="445"/>
      <c r="C43" s="146" t="s">
        <v>13</v>
      </c>
      <c r="D43" s="149" t="s">
        <v>181</v>
      </c>
      <c r="E43" s="199">
        <v>3261.0889999999999</v>
      </c>
      <c r="F43" s="142">
        <f>-2771-389</f>
        <v>-3160</v>
      </c>
      <c r="G43" s="142">
        <f t="shared" si="4"/>
        <v>101.08899999999994</v>
      </c>
      <c r="H43" s="175"/>
      <c r="I43" s="142">
        <f t="shared" si="5"/>
        <v>101.08899999999994</v>
      </c>
      <c r="J43" s="139">
        <f>(F43/E43)*-1</f>
        <v>0.9690014593284636</v>
      </c>
      <c r="K43" s="233" t="s">
        <v>56</v>
      </c>
    </row>
    <row r="44" spans="1:11" ht="11.25" customHeight="1">
      <c r="A44" s="47">
        <v>16</v>
      </c>
      <c r="B44" s="445"/>
      <c r="C44" s="145" t="s">
        <v>70</v>
      </c>
      <c r="D44" s="149" t="s">
        <v>181</v>
      </c>
      <c r="E44" s="199">
        <v>1549.779</v>
      </c>
      <c r="F44" s="142">
        <v>-1549.779</v>
      </c>
      <c r="G44" s="142">
        <f t="shared" si="4"/>
        <v>0</v>
      </c>
      <c r="H44" s="175"/>
      <c r="I44" s="142">
        <f t="shared" si="5"/>
        <v>0</v>
      </c>
      <c r="J44" s="139">
        <f>(F44/E44)*-1</f>
        <v>1</v>
      </c>
      <c r="K44" s="257">
        <v>45341</v>
      </c>
    </row>
    <row r="45" spans="1:11" ht="11.25" customHeight="1">
      <c r="A45" s="47"/>
      <c r="B45" s="445"/>
      <c r="C45" s="145" t="s">
        <v>194</v>
      </c>
      <c r="D45" s="149" t="s">
        <v>181</v>
      </c>
      <c r="E45" s="200">
        <v>5.5209999999999999</v>
      </c>
      <c r="F45" s="142"/>
      <c r="G45" s="142">
        <f t="shared" si="4"/>
        <v>5.5209999999999999</v>
      </c>
      <c r="H45" s="175"/>
      <c r="I45" s="142">
        <f t="shared" si="5"/>
        <v>5.5209999999999999</v>
      </c>
      <c r="J45" s="139">
        <f>(F45/E45)*-1</f>
        <v>0</v>
      </c>
      <c r="K45" s="233" t="s">
        <v>56</v>
      </c>
    </row>
    <row r="46" spans="1:11">
      <c r="A46" s="47">
        <v>17</v>
      </c>
      <c r="B46" s="445"/>
      <c r="C46" s="145" t="s">
        <v>63</v>
      </c>
      <c r="D46" s="149" t="s">
        <v>181</v>
      </c>
      <c r="E46" s="199">
        <v>207.917</v>
      </c>
      <c r="F46" s="142">
        <v>-200</v>
      </c>
      <c r="G46" s="142">
        <f t="shared" si="4"/>
        <v>7.9170000000000016</v>
      </c>
      <c r="H46" s="175"/>
      <c r="I46" s="142">
        <f t="shared" si="5"/>
        <v>7.9170000000000016</v>
      </c>
      <c r="J46" s="198">
        <f>H46/G46</f>
        <v>0</v>
      </c>
      <c r="K46" s="233" t="s">
        <v>56</v>
      </c>
    </row>
    <row r="47" spans="1:11" ht="12.75" thickBot="1">
      <c r="A47" s="47">
        <v>18</v>
      </c>
      <c r="B47" s="446"/>
      <c r="C47" s="147" t="s">
        <v>4</v>
      </c>
      <c r="D47" s="150" t="s">
        <v>181</v>
      </c>
      <c r="E47" s="199">
        <v>512.81399999999996</v>
      </c>
      <c r="F47" s="142"/>
      <c r="G47" s="142">
        <f t="shared" si="4"/>
        <v>512.81399999999996</v>
      </c>
      <c r="H47" s="175">
        <v>385.15600000000001</v>
      </c>
      <c r="I47" s="142">
        <f t="shared" si="5"/>
        <v>127.65799999999996</v>
      </c>
      <c r="J47" s="139">
        <f>H47/G47</f>
        <v>0.75106373850947916</v>
      </c>
      <c r="K47" s="233" t="s">
        <v>56</v>
      </c>
    </row>
    <row r="48" spans="1:11">
      <c r="B48" s="13"/>
      <c r="C48" s="34"/>
      <c r="E48" s="11"/>
      <c r="F48" s="11"/>
      <c r="G48" s="11"/>
      <c r="H48" s="136"/>
      <c r="I48" s="11"/>
      <c r="J48" s="12"/>
    </row>
    <row r="49" spans="2:11" ht="15.75" customHeight="1" thickBot="1">
      <c r="B49" s="14"/>
      <c r="C49" s="21"/>
      <c r="D49" s="46"/>
      <c r="E49" s="36"/>
      <c r="F49" s="36"/>
      <c r="G49" s="11"/>
      <c r="H49" s="136"/>
      <c r="I49" s="11"/>
      <c r="J49" s="12"/>
    </row>
    <row r="50" spans="2:11" ht="12.75" thickBot="1">
      <c r="B50" s="44" t="s">
        <v>15</v>
      </c>
      <c r="C50" s="45" t="s">
        <v>122</v>
      </c>
      <c r="D50" s="40" t="s">
        <v>145</v>
      </c>
      <c r="E50" s="41">
        <v>327</v>
      </c>
      <c r="F50" s="41">
        <f>0.1</f>
        <v>0.1</v>
      </c>
      <c r="G50" s="41">
        <f>E50+F50</f>
        <v>327.10000000000002</v>
      </c>
      <c r="H50" s="134">
        <f>50.622+73.687</f>
        <v>124.309</v>
      </c>
      <c r="I50" s="41">
        <f>G50-H50</f>
        <v>202.79100000000003</v>
      </c>
      <c r="J50" s="42">
        <f>H50/G50</f>
        <v>0.3800336288596759</v>
      </c>
      <c r="K50" s="233" t="s">
        <v>56</v>
      </c>
    </row>
    <row r="51" spans="2:11">
      <c r="B51" s="14"/>
      <c r="C51" s="21"/>
      <c r="E51" s="11"/>
      <c r="F51" s="11"/>
      <c r="G51" s="11"/>
      <c r="H51" s="136"/>
      <c r="I51" s="11"/>
      <c r="J51" s="12"/>
    </row>
    <row r="52" spans="2:11" ht="12.75" thickBot="1">
      <c r="B52" s="14"/>
      <c r="C52" s="21"/>
      <c r="E52" s="11"/>
      <c r="F52" s="11"/>
      <c r="G52" s="11"/>
      <c r="H52" s="136"/>
      <c r="I52" s="11"/>
      <c r="J52" s="19"/>
    </row>
    <row r="53" spans="2:11" ht="12.75" thickBot="1">
      <c r="B53" s="44" t="s">
        <v>16</v>
      </c>
      <c r="C53" s="45" t="s">
        <v>123</v>
      </c>
      <c r="D53" s="40" t="s">
        <v>145</v>
      </c>
      <c r="E53" s="41">
        <v>329</v>
      </c>
      <c r="F53" s="41"/>
      <c r="G53" s="41">
        <f>E53+F53</f>
        <v>329</v>
      </c>
      <c r="H53" s="134">
        <v>42.493000000000002</v>
      </c>
      <c r="I53" s="41">
        <f>G53-H53</f>
        <v>286.50700000000001</v>
      </c>
      <c r="J53" s="42">
        <f>H53/G53</f>
        <v>0.1291580547112462</v>
      </c>
      <c r="K53" s="233" t="s">
        <v>56</v>
      </c>
    </row>
    <row r="54" spans="2:11">
      <c r="H54" s="265"/>
      <c r="J54" s="137"/>
    </row>
    <row r="55" spans="2:11" ht="12.75">
      <c r="B55" s="35" t="s">
        <v>187</v>
      </c>
    </row>
    <row r="56" spans="2:11">
      <c r="H56" s="135"/>
    </row>
    <row r="58" spans="2:11" ht="16.5" customHeight="1"/>
    <row r="59" spans="2:11" ht="15" customHeight="1"/>
    <row r="60" spans="2:11" ht="15.75" customHeight="1"/>
    <row r="61" spans="2:11" ht="15.75" customHeight="1"/>
    <row r="69" ht="15" customHeight="1"/>
    <row r="79" ht="15" customHeight="1"/>
    <row r="91" spans="2:10" ht="12" customHeight="1"/>
    <row r="92" spans="2:10" ht="12.75" customHeight="1">
      <c r="B92" s="8"/>
      <c r="D92" s="30"/>
      <c r="H92" s="266"/>
      <c r="I92" s="30"/>
    </row>
    <row r="93" spans="2:10" ht="21">
      <c r="B93" s="30"/>
      <c r="J93" s="31"/>
    </row>
  </sheetData>
  <mergeCells count="6">
    <mergeCell ref="B39:B47"/>
    <mergeCell ref="B4:J4"/>
    <mergeCell ref="B2:J2"/>
    <mergeCell ref="B3:J3"/>
    <mergeCell ref="B21:B26"/>
    <mergeCell ref="B15:B18"/>
  </mergeCells>
  <conditionalFormatting sqref="I6 I12:I13 I50:I51 I53">
    <cfRule type="cellIs" dxfId="10" priority="89" operator="lessThan">
      <formula>0</formula>
    </cfRule>
  </conditionalFormatting>
  <conditionalFormatting sqref="I8">
    <cfRule type="cellIs" dxfId="9" priority="56" operator="lessThan">
      <formula>0</formula>
    </cfRule>
  </conditionalFormatting>
  <conditionalFormatting sqref="I10">
    <cfRule type="cellIs" dxfId="8" priority="57" operator="lessThan">
      <formula>0</formula>
    </cfRule>
  </conditionalFormatting>
  <conditionalFormatting sqref="I15:I19">
    <cfRule type="cellIs" dxfId="7" priority="53" operator="lessThan">
      <formula>0</formula>
    </cfRule>
  </conditionalFormatting>
  <conditionalFormatting sqref="I21:I27">
    <cfRule type="cellIs" dxfId="6" priority="45" operator="lessThan">
      <formula>0</formula>
    </cfRule>
  </conditionalFormatting>
  <conditionalFormatting sqref="I29">
    <cfRule type="cellIs" dxfId="5" priority="44" operator="lessThan">
      <formula>0</formula>
    </cfRule>
  </conditionalFormatting>
  <conditionalFormatting sqref="I31">
    <cfRule type="cellIs" dxfId="4" priority="43" operator="lessThan">
      <formula>0</formula>
    </cfRule>
  </conditionalFormatting>
  <conditionalFormatting sqref="I33">
    <cfRule type="cellIs" dxfId="3" priority="42" operator="lessThan">
      <formula>0</formula>
    </cfRule>
  </conditionalFormatting>
  <conditionalFormatting sqref="I35">
    <cfRule type="cellIs" dxfId="2" priority="41" operator="lessThan">
      <formula>0</formula>
    </cfRule>
  </conditionalFormatting>
  <conditionalFormatting sqref="I37">
    <cfRule type="cellIs" dxfId="1" priority="40" operator="lessThan">
      <formula>0</formula>
    </cfRule>
  </conditionalFormatting>
  <conditionalFormatting sqref="I39:I48">
    <cfRule type="cellIs" dxfId="0" priority="32" operator="lessThan">
      <formula>0</formula>
    </cfRule>
  </conditionalFormatting>
  <conditionalFormatting sqref="J6:J54">
    <cfRule type="dataBar" priority="1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{B3888B6E-8D0C-48A2-9CCA-78C0DCB2CA92}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34 G3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888B6E-8D0C-48A2-9CCA-78C0DCB2CA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FD277"/>
  <sheetViews>
    <sheetView showGridLines="0" zoomScaleNormal="100" workbookViewId="0">
      <selection activeCell="G81" sqref="G81"/>
    </sheetView>
  </sheetViews>
  <sheetFormatPr baseColWidth="10" defaultColWidth="11.42578125" defaultRowHeight="12.75"/>
  <cols>
    <col min="1" max="1" width="6" style="55" customWidth="1"/>
    <col min="2" max="2" width="13.28515625" style="55" customWidth="1"/>
    <col min="3" max="3" width="46" style="55" customWidth="1"/>
    <col min="4" max="4" width="12.5703125" style="348" customWidth="1"/>
    <col min="5" max="5" width="20.28515625" style="56" customWidth="1"/>
    <col min="6" max="6" width="16.7109375" style="57" customWidth="1"/>
    <col min="7" max="7" width="15.28515625" style="57" customWidth="1"/>
    <col min="8" max="8" width="14.28515625" style="57" customWidth="1"/>
    <col min="9" max="9" width="12.85546875" style="359" customWidth="1"/>
    <col min="10" max="10" width="13.140625" style="57" customWidth="1"/>
    <col min="11" max="11" width="15" style="57" customWidth="1"/>
    <col min="12" max="12" width="17.42578125" style="57" bestFit="1" customWidth="1"/>
    <col min="13" max="13" width="13.42578125" style="57" bestFit="1" customWidth="1"/>
    <col min="14" max="14" width="16.140625" style="57" bestFit="1" customWidth="1"/>
    <col min="15" max="15" width="14.85546875" style="57" bestFit="1" customWidth="1"/>
    <col min="16" max="16" width="13.85546875" style="57" customWidth="1"/>
    <col min="17" max="17" width="15.28515625" style="57" customWidth="1"/>
    <col min="18" max="16384" width="11.42578125" style="55"/>
  </cols>
  <sheetData>
    <row r="1" spans="2:17">
      <c r="G1" s="55"/>
      <c r="H1" s="55"/>
      <c r="K1" s="55"/>
      <c r="L1" s="55"/>
      <c r="M1" s="55"/>
      <c r="N1" s="55"/>
      <c r="O1" s="55"/>
      <c r="P1" s="55"/>
      <c r="Q1" s="55"/>
    </row>
    <row r="2" spans="2:17" s="58" customFormat="1" ht="19.899999999999999" customHeight="1">
      <c r="B2" s="498" t="s">
        <v>188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500"/>
    </row>
    <row r="3" spans="2:17" ht="15" customHeight="1">
      <c r="B3" s="507">
        <f>+RESUMEN!B3</f>
        <v>45481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9"/>
    </row>
    <row r="4" spans="2:17" ht="17.45" customHeight="1"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</row>
    <row r="5" spans="2:17" ht="59.25" customHeight="1">
      <c r="B5" s="59" t="s">
        <v>98</v>
      </c>
      <c r="C5" s="59" t="s">
        <v>124</v>
      </c>
      <c r="D5" s="349" t="s">
        <v>143</v>
      </c>
      <c r="E5" s="59" t="s">
        <v>101</v>
      </c>
      <c r="F5" s="59" t="s">
        <v>77</v>
      </c>
      <c r="G5" s="59"/>
      <c r="H5" s="59" t="s">
        <v>79</v>
      </c>
      <c r="I5" s="59" t="s">
        <v>80</v>
      </c>
      <c r="J5" s="59" t="s">
        <v>81</v>
      </c>
      <c r="K5" s="59" t="s">
        <v>64</v>
      </c>
      <c r="L5" s="59" t="s">
        <v>77</v>
      </c>
      <c r="M5" s="59" t="s">
        <v>78</v>
      </c>
      <c r="N5" s="59" t="s">
        <v>79</v>
      </c>
      <c r="O5" s="59" t="s">
        <v>80</v>
      </c>
      <c r="P5" s="59" t="s">
        <v>81</v>
      </c>
      <c r="Q5" s="59" t="s">
        <v>64</v>
      </c>
    </row>
    <row r="6" spans="2:17" ht="12" customHeight="1">
      <c r="B6" s="524" t="s">
        <v>125</v>
      </c>
      <c r="C6" s="459" t="s">
        <v>146</v>
      </c>
      <c r="D6" s="461">
        <v>9.1240000000000002E-2</v>
      </c>
      <c r="E6" s="192" t="s">
        <v>192</v>
      </c>
      <c r="F6" s="374">
        <v>9446.5319999999992</v>
      </c>
      <c r="G6" s="375">
        <f>-5349.314-5146.8</f>
        <v>-10496.114000000001</v>
      </c>
      <c r="H6" s="374">
        <f>SUM(F6:G6)</f>
        <v>-1049.5820000000022</v>
      </c>
      <c r="I6" s="376"/>
      <c r="J6" s="374">
        <f t="shared" ref="J6:J19" si="0">H6-I6</f>
        <v>-1049.5820000000022</v>
      </c>
      <c r="K6" s="377">
        <f t="shared" ref="K6:K19" si="1">I6/H6</f>
        <v>0</v>
      </c>
      <c r="L6" s="512">
        <f>F6+F7</f>
        <v>10496.156999999999</v>
      </c>
      <c r="M6" s="512">
        <f>G6+G7</f>
        <v>-10496.114000000001</v>
      </c>
      <c r="N6" s="512">
        <f>L6+M6</f>
        <v>4.2999999997846317E-2</v>
      </c>
      <c r="O6" s="512">
        <f>I6+I7</f>
        <v>0</v>
      </c>
      <c r="P6" s="513">
        <f>N6-O6</f>
        <v>4.2999999997846317E-2</v>
      </c>
      <c r="Q6" s="511">
        <f>O6/N6</f>
        <v>0</v>
      </c>
    </row>
    <row r="7" spans="2:17" ht="12" customHeight="1">
      <c r="B7" s="524"/>
      <c r="C7" s="460"/>
      <c r="D7" s="462"/>
      <c r="E7" s="192" t="s">
        <v>193</v>
      </c>
      <c r="F7" s="374">
        <v>1049.625</v>
      </c>
      <c r="G7" s="374"/>
      <c r="H7" s="374">
        <f>SUM(F7:G7)+J6</f>
        <v>4.2999999997846317E-2</v>
      </c>
      <c r="I7" s="376"/>
      <c r="J7" s="374">
        <f t="shared" si="0"/>
        <v>4.2999999997846317E-2</v>
      </c>
      <c r="K7" s="377">
        <f t="shared" si="1"/>
        <v>0</v>
      </c>
      <c r="L7" s="512"/>
      <c r="M7" s="512"/>
      <c r="N7" s="512"/>
      <c r="O7" s="512"/>
      <c r="P7" s="513"/>
      <c r="Q7" s="511"/>
    </row>
    <row r="8" spans="2:17" ht="12" customHeight="1">
      <c r="B8" s="524"/>
      <c r="C8" s="459" t="s">
        <v>147</v>
      </c>
      <c r="D8" s="461">
        <v>0.10381509999999999</v>
      </c>
      <c r="E8" s="192" t="s">
        <v>192</v>
      </c>
      <c r="F8" s="374">
        <v>10748.495999999999</v>
      </c>
      <c r="G8" s="374">
        <f>-200+5146.8-400-150</f>
        <v>4396.8</v>
      </c>
      <c r="H8" s="374">
        <f t="shared" ref="H8:H22" si="2">SUM(F8:G8)</f>
        <v>15145.295999999998</v>
      </c>
      <c r="I8" s="376">
        <v>14868.511</v>
      </c>
      <c r="J8" s="374">
        <f t="shared" si="0"/>
        <v>276.78499999999804</v>
      </c>
      <c r="K8" s="377">
        <f t="shared" si="1"/>
        <v>0.9817246886425991</v>
      </c>
      <c r="L8" s="512">
        <f t="shared" ref="L8" si="3">F8+F9</f>
        <v>11942.785</v>
      </c>
      <c r="M8" s="512">
        <f t="shared" ref="M8" si="4">G8+G9</f>
        <v>4396.8</v>
      </c>
      <c r="N8" s="512">
        <f t="shared" ref="N8" si="5">L8+M8</f>
        <v>16339.584999999999</v>
      </c>
      <c r="O8" s="512">
        <f t="shared" ref="O8" si="6">I8+I9</f>
        <v>14868.511</v>
      </c>
      <c r="P8" s="513">
        <f t="shared" ref="P8" si="7">N8-O8</f>
        <v>1471.0739999999987</v>
      </c>
      <c r="Q8" s="511">
        <f t="shared" ref="Q8" si="8">O8/N8</f>
        <v>0.90996870483552683</v>
      </c>
    </row>
    <row r="9" spans="2:17" ht="12" customHeight="1">
      <c r="B9" s="524"/>
      <c r="C9" s="460"/>
      <c r="D9" s="462"/>
      <c r="E9" s="192" t="s">
        <v>193</v>
      </c>
      <c r="F9" s="374">
        <v>1194.289</v>
      </c>
      <c r="G9" s="374"/>
      <c r="H9" s="374">
        <f>SUM(F9:G9)+J8</f>
        <v>1471.073999999998</v>
      </c>
      <c r="I9" s="376"/>
      <c r="J9" s="374">
        <f t="shared" si="0"/>
        <v>1471.073999999998</v>
      </c>
      <c r="K9" s="377">
        <f t="shared" si="1"/>
        <v>0</v>
      </c>
      <c r="L9" s="512"/>
      <c r="M9" s="512"/>
      <c r="N9" s="512"/>
      <c r="O9" s="512"/>
      <c r="P9" s="513"/>
      <c r="Q9" s="511"/>
    </row>
    <row r="10" spans="2:17" ht="12" customHeight="1">
      <c r="B10" s="524"/>
      <c r="C10" s="510" t="s">
        <v>148</v>
      </c>
      <c r="D10" s="461">
        <v>0.70144490000000004</v>
      </c>
      <c r="E10" s="192" t="s">
        <v>192</v>
      </c>
      <c r="F10" s="374">
        <v>72624.097999999998</v>
      </c>
      <c r="G10" s="374">
        <f>-1000-1000</f>
        <v>-2000</v>
      </c>
      <c r="H10" s="374">
        <f t="shared" si="2"/>
        <v>70624.097999999998</v>
      </c>
      <c r="I10" s="376">
        <v>76809.854999999996</v>
      </c>
      <c r="J10" s="374">
        <f t="shared" si="0"/>
        <v>-6185.7569999999978</v>
      </c>
      <c r="K10" s="377">
        <f t="shared" si="1"/>
        <v>1.0875870584570155</v>
      </c>
      <c r="L10" s="512">
        <f t="shared" ref="L10" si="9">F10+F11</f>
        <v>80693.520999999993</v>
      </c>
      <c r="M10" s="512">
        <f t="shared" ref="M10" si="10">G10+G11</f>
        <v>-2000</v>
      </c>
      <c r="N10" s="512">
        <f t="shared" ref="N10" si="11">L10+M10</f>
        <v>78693.520999999993</v>
      </c>
      <c r="O10" s="512">
        <f t="shared" ref="O10" si="12">I10+I11</f>
        <v>76809.854999999996</v>
      </c>
      <c r="P10" s="513">
        <f t="shared" ref="P10" si="13">N10-O10</f>
        <v>1883.6659999999974</v>
      </c>
      <c r="Q10" s="511">
        <f t="shared" ref="Q10" si="14">O10/N10</f>
        <v>0.97606326447128988</v>
      </c>
    </row>
    <row r="11" spans="2:17" ht="12" customHeight="1">
      <c r="B11" s="524"/>
      <c r="C11" s="510"/>
      <c r="D11" s="462"/>
      <c r="E11" s="192" t="s">
        <v>193</v>
      </c>
      <c r="F11" s="374">
        <v>8069.4229999999998</v>
      </c>
      <c r="G11" s="374"/>
      <c r="H11" s="374">
        <f>SUM(F11:G11)+J10</f>
        <v>1883.666000000002</v>
      </c>
      <c r="I11" s="376"/>
      <c r="J11" s="374">
        <f t="shared" si="0"/>
        <v>1883.666000000002</v>
      </c>
      <c r="K11" s="377">
        <f t="shared" si="1"/>
        <v>0</v>
      </c>
      <c r="L11" s="512"/>
      <c r="M11" s="512"/>
      <c r="N11" s="512"/>
      <c r="O11" s="512"/>
      <c r="P11" s="513"/>
      <c r="Q11" s="511"/>
    </row>
    <row r="12" spans="2:17" ht="12" customHeight="1">
      <c r="B12" s="524"/>
      <c r="C12" s="510" t="s">
        <v>149</v>
      </c>
      <c r="D12" s="461">
        <v>5.0000000000000002E-5</v>
      </c>
      <c r="E12" s="192" t="s">
        <v>192</v>
      </c>
      <c r="F12" s="374">
        <v>5.1769999999999996</v>
      </c>
      <c r="G12" s="374">
        <v>31.061</v>
      </c>
      <c r="H12" s="374">
        <f t="shared" si="2"/>
        <v>36.238</v>
      </c>
      <c r="I12" s="376"/>
      <c r="J12" s="374">
        <f t="shared" si="0"/>
        <v>36.238</v>
      </c>
      <c r="K12" s="377">
        <f t="shared" si="1"/>
        <v>0</v>
      </c>
      <c r="L12" s="512">
        <f t="shared" ref="L12" si="15">F12+F13</f>
        <v>5.7519999999999998</v>
      </c>
      <c r="M12" s="512">
        <f t="shared" ref="M12" si="16">G12+G13</f>
        <v>31.061</v>
      </c>
      <c r="N12" s="512">
        <f t="shared" ref="N12" si="17">L12+M12</f>
        <v>36.813000000000002</v>
      </c>
      <c r="O12" s="512">
        <f t="shared" ref="O12" si="18">I12+I13</f>
        <v>0</v>
      </c>
      <c r="P12" s="513">
        <f t="shared" ref="P12" si="19">N12-O12</f>
        <v>36.813000000000002</v>
      </c>
      <c r="Q12" s="511">
        <f t="shared" ref="Q12" si="20">O12/N12</f>
        <v>0</v>
      </c>
    </row>
    <row r="13" spans="2:17" ht="12" customHeight="1">
      <c r="B13" s="524"/>
      <c r="C13" s="510"/>
      <c r="D13" s="462"/>
      <c r="E13" s="192" t="s">
        <v>193</v>
      </c>
      <c r="F13" s="374">
        <v>0.57499999999999996</v>
      </c>
      <c r="G13" s="374"/>
      <c r="H13" s="374">
        <f>SUM(F13:G13)+J12</f>
        <v>36.813000000000002</v>
      </c>
      <c r="I13" s="376"/>
      <c r="J13" s="374">
        <f t="shared" si="0"/>
        <v>36.813000000000002</v>
      </c>
      <c r="K13" s="377">
        <f t="shared" si="1"/>
        <v>0</v>
      </c>
      <c r="L13" s="512"/>
      <c r="M13" s="512"/>
      <c r="N13" s="512"/>
      <c r="O13" s="512"/>
      <c r="P13" s="513"/>
      <c r="Q13" s="511"/>
    </row>
    <row r="14" spans="2:17" ht="12" customHeight="1">
      <c r="B14" s="524"/>
      <c r="C14" s="510" t="s">
        <v>150</v>
      </c>
      <c r="D14" s="461">
        <v>3.8679999999999999E-2</v>
      </c>
      <c r="E14" s="192" t="s">
        <v>192</v>
      </c>
      <c r="F14" s="374">
        <f>4004.733</f>
        <v>4004.7330000000002</v>
      </c>
      <c r="G14" s="374">
        <f>-517.6755-690.234-3241.799</f>
        <v>-4449.7085000000006</v>
      </c>
      <c r="H14" s="374">
        <f t="shared" si="2"/>
        <v>-444.97550000000047</v>
      </c>
      <c r="I14" s="376"/>
      <c r="J14" s="374">
        <f t="shared" si="0"/>
        <v>-444.97550000000047</v>
      </c>
      <c r="K14" s="377">
        <f t="shared" si="1"/>
        <v>0</v>
      </c>
      <c r="L14" s="512">
        <f t="shared" ref="L14" si="21">F14+F15</f>
        <v>4449.7080000000005</v>
      </c>
      <c r="M14" s="512">
        <f t="shared" ref="M14" si="22">G14+G15</f>
        <v>-4449.7085000000006</v>
      </c>
      <c r="N14" s="512">
        <f t="shared" ref="N14" si="23">L14+M14</f>
        <v>-5.0000000010186341E-4</v>
      </c>
      <c r="O14" s="512">
        <f t="shared" ref="O14" si="24">I14+I15</f>
        <v>0</v>
      </c>
      <c r="P14" s="513">
        <f t="shared" ref="P14" si="25">N14-O14</f>
        <v>-5.0000000010186341E-4</v>
      </c>
      <c r="Q14" s="511">
        <f t="shared" ref="Q14" si="26">O14/N14</f>
        <v>0</v>
      </c>
    </row>
    <row r="15" spans="2:17" ht="12" customHeight="1">
      <c r="B15" s="524"/>
      <c r="C15" s="510"/>
      <c r="D15" s="462"/>
      <c r="E15" s="192" t="s">
        <v>193</v>
      </c>
      <c r="F15" s="374">
        <v>444.97500000000002</v>
      </c>
      <c r="G15" s="374"/>
      <c r="H15" s="374">
        <f>SUM(F15:G15)+J14</f>
        <v>-5.0000000044292392E-4</v>
      </c>
      <c r="I15" s="376"/>
      <c r="J15" s="374">
        <f t="shared" si="0"/>
        <v>-5.0000000044292392E-4</v>
      </c>
      <c r="K15" s="377">
        <f t="shared" si="1"/>
        <v>0</v>
      </c>
      <c r="L15" s="512"/>
      <c r="M15" s="512"/>
      <c r="N15" s="512"/>
      <c r="O15" s="512"/>
      <c r="P15" s="513"/>
      <c r="Q15" s="511"/>
    </row>
    <row r="16" spans="2:17" ht="12" customHeight="1">
      <c r="B16" s="524"/>
      <c r="C16" s="510" t="s">
        <v>151</v>
      </c>
      <c r="D16" s="461">
        <v>9.75E-3</v>
      </c>
      <c r="E16" s="192" t="s">
        <v>192</v>
      </c>
      <c r="F16" s="374">
        <v>1009.466</v>
      </c>
      <c r="G16" s="374">
        <v>-1121.6300000000001</v>
      </c>
      <c r="H16" s="374">
        <f t="shared" si="2"/>
        <v>-112.1640000000001</v>
      </c>
      <c r="I16" s="376"/>
      <c r="J16" s="374">
        <f t="shared" si="0"/>
        <v>-112.1640000000001</v>
      </c>
      <c r="K16" s="377">
        <f t="shared" si="1"/>
        <v>0</v>
      </c>
      <c r="L16" s="512">
        <f t="shared" ref="L16" si="27">F16+F17</f>
        <v>1121.6300000000001</v>
      </c>
      <c r="M16" s="512">
        <f t="shared" ref="M16" si="28">G16+G17</f>
        <v>-1121.6300000000001</v>
      </c>
      <c r="N16" s="512">
        <f t="shared" ref="N16" si="29">L16+M16</f>
        <v>0</v>
      </c>
      <c r="O16" s="512">
        <f t="shared" ref="O16" si="30">I16+I17</f>
        <v>0</v>
      </c>
      <c r="P16" s="513">
        <f t="shared" ref="P16" si="31">N16-O16</f>
        <v>0</v>
      </c>
      <c r="Q16" s="511">
        <v>0</v>
      </c>
    </row>
    <row r="17" spans="2:17" ht="12" customHeight="1">
      <c r="B17" s="524"/>
      <c r="C17" s="510"/>
      <c r="D17" s="462"/>
      <c r="E17" s="192" t="s">
        <v>193</v>
      </c>
      <c r="F17" s="374">
        <v>112.164</v>
      </c>
      <c r="G17" s="374"/>
      <c r="H17" s="374">
        <f>SUM(F17:G17)+J16</f>
        <v>0</v>
      </c>
      <c r="I17" s="376"/>
      <c r="J17" s="374">
        <f t="shared" si="0"/>
        <v>0</v>
      </c>
      <c r="K17" s="377">
        <v>0</v>
      </c>
      <c r="L17" s="512"/>
      <c r="M17" s="512"/>
      <c r="N17" s="512"/>
      <c r="O17" s="512"/>
      <c r="P17" s="513"/>
      <c r="Q17" s="511"/>
    </row>
    <row r="18" spans="2:17" ht="12" customHeight="1">
      <c r="B18" s="524"/>
      <c r="C18" s="510" t="s">
        <v>152</v>
      </c>
      <c r="D18" s="461">
        <v>5.475E-2</v>
      </c>
      <c r="E18" s="192" t="s">
        <v>192</v>
      </c>
      <c r="F18" s="374">
        <v>5668.5460000000003</v>
      </c>
      <c r="G18" s="374">
        <f>-517.6755-517.6755-517.6755-4715</f>
        <v>-6268.0264999999999</v>
      </c>
      <c r="H18" s="374">
        <f t="shared" si="2"/>
        <v>-599.48049999999967</v>
      </c>
      <c r="I18" s="376"/>
      <c r="J18" s="374">
        <f t="shared" si="0"/>
        <v>-599.48049999999967</v>
      </c>
      <c r="K18" s="377">
        <f t="shared" si="1"/>
        <v>0</v>
      </c>
      <c r="L18" s="512">
        <f t="shared" ref="L18" si="32">F18+F19</f>
        <v>6298.39</v>
      </c>
      <c r="M18" s="512">
        <f t="shared" ref="M18" si="33">G18+G19</f>
        <v>-6268.0264999999999</v>
      </c>
      <c r="N18" s="512">
        <f t="shared" ref="N18" si="34">L18+M18</f>
        <v>30.363500000000386</v>
      </c>
      <c r="O18" s="512">
        <f t="shared" ref="O18" si="35">I18+I19</f>
        <v>0</v>
      </c>
      <c r="P18" s="513">
        <f t="shared" ref="P18" si="36">N18-O18</f>
        <v>30.363500000000386</v>
      </c>
      <c r="Q18" s="511">
        <f>O18/N18</f>
        <v>0</v>
      </c>
    </row>
    <row r="19" spans="2:17" ht="12" customHeight="1">
      <c r="B19" s="524"/>
      <c r="C19" s="510"/>
      <c r="D19" s="462"/>
      <c r="E19" s="192" t="s">
        <v>193</v>
      </c>
      <c r="F19" s="374">
        <v>629.84400000000005</v>
      </c>
      <c r="G19" s="374"/>
      <c r="H19" s="374">
        <f>SUM(F19:G19)+J18</f>
        <v>30.363500000000386</v>
      </c>
      <c r="I19" s="376"/>
      <c r="J19" s="374">
        <f t="shared" si="0"/>
        <v>30.363500000000386</v>
      </c>
      <c r="K19" s="377">
        <f t="shared" si="1"/>
        <v>0</v>
      </c>
      <c r="L19" s="512"/>
      <c r="M19" s="512"/>
      <c r="N19" s="512"/>
      <c r="O19" s="512"/>
      <c r="P19" s="513"/>
      <c r="Q19" s="511"/>
    </row>
    <row r="20" spans="2:17" ht="12" customHeight="1">
      <c r="B20" s="524"/>
      <c r="C20" s="459" t="s">
        <v>253</v>
      </c>
      <c r="D20" s="461"/>
      <c r="E20" s="192" t="s">
        <v>192</v>
      </c>
      <c r="F20" s="374">
        <v>0</v>
      </c>
      <c r="G20" s="374">
        <f>517.6755+690.234+517.6755+517.6755+517.6755</f>
        <v>2760.9360000000006</v>
      </c>
      <c r="H20" s="374">
        <f t="shared" si="2"/>
        <v>2760.9360000000006</v>
      </c>
      <c r="I20" s="376"/>
      <c r="J20" s="374">
        <f t="shared" ref="J20:J23" si="37">H20-I20</f>
        <v>2760.9360000000006</v>
      </c>
      <c r="K20" s="377">
        <f t="shared" ref="K20:K23" si="38">I20/H20</f>
        <v>0</v>
      </c>
      <c r="L20" s="512">
        <f t="shared" ref="L20" si="39">F20+F21</f>
        <v>0</v>
      </c>
      <c r="M20" s="512">
        <f t="shared" ref="M20" si="40">G20+G21</f>
        <v>2760.9360000000006</v>
      </c>
      <c r="N20" s="512">
        <f t="shared" ref="N20" si="41">L20+M20</f>
        <v>2760.9360000000006</v>
      </c>
      <c r="O20" s="512">
        <f t="shared" ref="O20" si="42">I20+I21</f>
        <v>0</v>
      </c>
      <c r="P20" s="513">
        <f t="shared" ref="P20" si="43">N20-O20</f>
        <v>2760.9360000000006</v>
      </c>
      <c r="Q20" s="511">
        <f t="shared" ref="Q20" si="44">O20/N20</f>
        <v>0</v>
      </c>
    </row>
    <row r="21" spans="2:17" ht="12" customHeight="1">
      <c r="B21" s="524"/>
      <c r="C21" s="460"/>
      <c r="D21" s="462"/>
      <c r="E21" s="192" t="s">
        <v>193</v>
      </c>
      <c r="F21" s="374">
        <v>0</v>
      </c>
      <c r="G21" s="374"/>
      <c r="H21" s="374">
        <f t="shared" ref="H21" si="45">SUM(F21:G21)+J20</f>
        <v>2760.9360000000006</v>
      </c>
      <c r="I21" s="376"/>
      <c r="J21" s="374">
        <f t="shared" si="37"/>
        <v>2760.9360000000006</v>
      </c>
      <c r="K21" s="377">
        <f t="shared" si="38"/>
        <v>0</v>
      </c>
      <c r="L21" s="512"/>
      <c r="M21" s="512"/>
      <c r="N21" s="512"/>
      <c r="O21" s="512"/>
      <c r="P21" s="513"/>
      <c r="Q21" s="511"/>
    </row>
    <row r="22" spans="2:17" ht="12" customHeight="1">
      <c r="B22" s="524"/>
      <c r="C22" s="510" t="s">
        <v>153</v>
      </c>
      <c r="D22" s="461">
        <v>2.7E-4</v>
      </c>
      <c r="E22" s="192" t="s">
        <v>192</v>
      </c>
      <c r="F22" s="374">
        <v>27.954000000000001</v>
      </c>
      <c r="G22" s="374">
        <v>-31.061</v>
      </c>
      <c r="H22" s="374">
        <f t="shared" si="2"/>
        <v>-3.1069999999999993</v>
      </c>
      <c r="I22" s="376"/>
      <c r="J22" s="374">
        <f t="shared" si="37"/>
        <v>-3.1069999999999993</v>
      </c>
      <c r="K22" s="377">
        <f t="shared" si="38"/>
        <v>0</v>
      </c>
      <c r="L22" s="512">
        <f t="shared" ref="L22" si="46">F22+F23</f>
        <v>31.060000000000002</v>
      </c>
      <c r="M22" s="512">
        <f t="shared" ref="M22" si="47">G22+G23</f>
        <v>-31.061</v>
      </c>
      <c r="N22" s="512">
        <f t="shared" ref="N22" si="48">L22+M22</f>
        <v>-9.9999999999766942E-4</v>
      </c>
      <c r="O22" s="512">
        <f t="shared" ref="O22" si="49">I22+I23</f>
        <v>0</v>
      </c>
      <c r="P22" s="513">
        <f t="shared" ref="P22" si="50">N22-O22</f>
        <v>-9.9999999999766942E-4</v>
      </c>
      <c r="Q22" s="511">
        <f t="shared" ref="Q22" si="51">O22/N22</f>
        <v>0</v>
      </c>
    </row>
    <row r="23" spans="2:17" ht="12.75" customHeight="1">
      <c r="B23" s="524"/>
      <c r="C23" s="510"/>
      <c r="D23" s="462"/>
      <c r="E23" s="192" t="s">
        <v>193</v>
      </c>
      <c r="F23" s="374">
        <v>3.1059999999999999</v>
      </c>
      <c r="G23" s="374"/>
      <c r="H23" s="374">
        <f t="shared" ref="H23" si="52">SUM(F23:G23)+J22</f>
        <v>-9.9999999999944578E-4</v>
      </c>
      <c r="I23" s="376"/>
      <c r="J23" s="374">
        <f t="shared" si="37"/>
        <v>-9.9999999999944578E-4</v>
      </c>
      <c r="K23" s="377">
        <f t="shared" si="38"/>
        <v>0</v>
      </c>
      <c r="L23" s="512"/>
      <c r="M23" s="512"/>
      <c r="N23" s="512"/>
      <c r="O23" s="512"/>
      <c r="P23" s="513"/>
      <c r="Q23" s="511"/>
    </row>
    <row r="24" spans="2:17">
      <c r="B24" s="524"/>
      <c r="C24" s="514" t="s">
        <v>68</v>
      </c>
      <c r="D24" s="515"/>
      <c r="E24" s="61" t="s">
        <v>56</v>
      </c>
      <c r="F24" s="372">
        <f>F6+F8+F10+F12+F14+F16+F18+F22</f>
        <v>103535.00199999999</v>
      </c>
      <c r="G24" s="372">
        <f>SUM(G6,G8,G10,G12,G14,G16,G18,G20,G22)</f>
        <v>-17177.743000000002</v>
      </c>
      <c r="H24" s="372">
        <f>F24+G24</f>
        <v>86357.258999999991</v>
      </c>
      <c r="I24" s="378">
        <f>I6+I8+I10+I12+I14+I16+I18+I22</f>
        <v>91678.365999999995</v>
      </c>
      <c r="J24" s="372">
        <f t="shared" ref="J24:J25" si="53">H24-I24</f>
        <v>-5321.1070000000036</v>
      </c>
      <c r="K24" s="379">
        <f t="shared" ref="K24:K25" si="54">I24/H24</f>
        <v>1.061617367915765</v>
      </c>
      <c r="L24" s="503">
        <f>SUM(L6:L23)</f>
        <v>115039.00299999998</v>
      </c>
      <c r="M24" s="503">
        <f>SUM(M6:M23)</f>
        <v>-17177.743000000002</v>
      </c>
      <c r="N24" s="503">
        <f>L24+M24</f>
        <v>97861.25999999998</v>
      </c>
      <c r="O24" s="503">
        <f>SUM(O6:O23)</f>
        <v>91678.365999999995</v>
      </c>
      <c r="P24" s="506">
        <f>N24-O24</f>
        <v>6182.8939999999857</v>
      </c>
      <c r="Q24" s="511">
        <f>O24/N24</f>
        <v>0.93681979978594199</v>
      </c>
    </row>
    <row r="25" spans="2:17">
      <c r="B25" s="524"/>
      <c r="C25" s="516"/>
      <c r="D25" s="517"/>
      <c r="E25" s="61" t="s">
        <v>56</v>
      </c>
      <c r="F25" s="372">
        <f>F7+F9+F11+F13+F15+F17+F19+F23</f>
        <v>11504.001</v>
      </c>
      <c r="G25" s="372">
        <f>G7+G9+G11+G13+G15+G17+G19+G23+G21</f>
        <v>0</v>
      </c>
      <c r="H25" s="372">
        <f>+J24+F25+G25</f>
        <v>6182.8939999999966</v>
      </c>
      <c r="I25" s="378">
        <f>I7+I9+I11+I13+I15+I17+I19+I23</f>
        <v>0</v>
      </c>
      <c r="J25" s="372">
        <f t="shared" si="53"/>
        <v>6182.8939999999966</v>
      </c>
      <c r="K25" s="379">
        <f t="shared" si="54"/>
        <v>0</v>
      </c>
      <c r="L25" s="503"/>
      <c r="M25" s="503"/>
      <c r="N25" s="503"/>
      <c r="O25" s="503"/>
      <c r="P25" s="506"/>
      <c r="Q25" s="511"/>
    </row>
    <row r="26" spans="2:17">
      <c r="B26" s="524"/>
      <c r="C26" s="518"/>
      <c r="D26" s="519"/>
      <c r="E26" s="61"/>
      <c r="F26" s="173">
        <f>SUM(F24,F25)</f>
        <v>115039.003</v>
      </c>
      <c r="G26" s="61"/>
      <c r="H26" s="61"/>
      <c r="I26" s="311">
        <f>I24+I25</f>
        <v>91678.365999999995</v>
      </c>
      <c r="J26" s="61"/>
      <c r="K26" s="176"/>
      <c r="L26" s="61"/>
      <c r="M26" s="61"/>
      <c r="N26" s="61"/>
      <c r="O26" s="61"/>
      <c r="P26" s="62"/>
      <c r="Q26" s="63"/>
    </row>
    <row r="27" spans="2:17">
      <c r="B27" s="35"/>
      <c r="C27" s="132"/>
      <c r="D27" s="350"/>
      <c r="E27" s="65"/>
      <c r="F27" s="73"/>
      <c r="G27" s="65"/>
      <c r="H27" s="65"/>
      <c r="I27" s="312"/>
      <c r="J27" s="65"/>
      <c r="K27" s="66"/>
      <c r="L27" s="65"/>
      <c r="M27" s="65"/>
      <c r="N27" s="65"/>
      <c r="O27" s="65"/>
      <c r="P27" s="67"/>
      <c r="Q27" s="68"/>
    </row>
    <row r="28" spans="2:17">
      <c r="B28" s="35"/>
      <c r="C28" s="132"/>
      <c r="D28" s="350"/>
      <c r="E28" s="65"/>
      <c r="F28" s="73"/>
      <c r="G28" s="65"/>
      <c r="H28" s="65"/>
      <c r="I28" s="312"/>
      <c r="J28" s="65"/>
      <c r="K28" s="66"/>
      <c r="L28" s="65"/>
      <c r="M28" s="65"/>
      <c r="N28" s="65"/>
      <c r="O28" s="65"/>
      <c r="P28" s="67"/>
      <c r="Q28" s="68"/>
    </row>
    <row r="29" spans="2:17">
      <c r="B29" s="35"/>
      <c r="C29" s="64"/>
      <c r="D29" s="350"/>
      <c r="E29" s="35"/>
      <c r="F29" s="65"/>
      <c r="G29" s="65"/>
      <c r="H29" s="65"/>
      <c r="I29" s="312"/>
      <c r="J29" s="65"/>
      <c r="K29" s="66"/>
      <c r="L29" s="65"/>
      <c r="M29" s="65"/>
      <c r="N29" s="65"/>
      <c r="O29" s="65"/>
      <c r="P29" s="67"/>
      <c r="Q29" s="68"/>
    </row>
    <row r="30" spans="2:17" ht="25.5">
      <c r="B30" s="59" t="s">
        <v>98</v>
      </c>
      <c r="C30" s="59" t="s">
        <v>124</v>
      </c>
      <c r="D30" s="349" t="s">
        <v>143</v>
      </c>
      <c r="E30" s="59" t="s">
        <v>101</v>
      </c>
      <c r="F30" s="59" t="s">
        <v>77</v>
      </c>
      <c r="G30" s="59" t="s">
        <v>78</v>
      </c>
      <c r="H30" s="59" t="s">
        <v>79</v>
      </c>
      <c r="I30" s="59" t="s">
        <v>80</v>
      </c>
      <c r="J30" s="59" t="s">
        <v>81</v>
      </c>
      <c r="K30" s="59" t="s">
        <v>64</v>
      </c>
      <c r="L30" s="59" t="s">
        <v>77</v>
      </c>
      <c r="M30" s="59" t="s">
        <v>78</v>
      </c>
      <c r="N30" s="59" t="s">
        <v>79</v>
      </c>
      <c r="O30" s="59" t="s">
        <v>80</v>
      </c>
      <c r="P30" s="59" t="s">
        <v>81</v>
      </c>
      <c r="Q30" s="59" t="s">
        <v>64</v>
      </c>
    </row>
    <row r="31" spans="2:17" ht="15" customHeight="1">
      <c r="B31" s="525" t="s">
        <v>126</v>
      </c>
      <c r="C31" s="459" t="s">
        <v>154</v>
      </c>
      <c r="D31" s="461">
        <v>8.3848300000000001E-2</v>
      </c>
      <c r="E31" s="192" t="s">
        <v>192</v>
      </c>
      <c r="F31" s="1">
        <v>1832.002</v>
      </c>
      <c r="G31" s="60">
        <v>-2035</v>
      </c>
      <c r="H31" s="168">
        <f>F31+G31</f>
        <v>-202.99800000000005</v>
      </c>
      <c r="I31" s="362"/>
      <c r="J31" s="168">
        <f>H31-I31</f>
        <v>-202.99800000000005</v>
      </c>
      <c r="K31" s="177">
        <f t="shared" ref="K31:K64" si="55">I31/H31</f>
        <v>0</v>
      </c>
      <c r="L31" s="463">
        <f>F31+F32</f>
        <v>2035.586</v>
      </c>
      <c r="M31" s="463">
        <f>G31+G32</f>
        <v>-2035</v>
      </c>
      <c r="N31" s="463">
        <f>L31+M31</f>
        <v>0.58600000000001273</v>
      </c>
      <c r="O31" s="463">
        <f t="shared" ref="O31" si="56">I31+I32</f>
        <v>0</v>
      </c>
      <c r="P31" s="464">
        <f>N31-O31</f>
        <v>0.58600000000001273</v>
      </c>
      <c r="Q31" s="465">
        <f>O31/N31</f>
        <v>0</v>
      </c>
    </row>
    <row r="32" spans="2:17" ht="15" customHeight="1">
      <c r="B32" s="525"/>
      <c r="C32" s="460"/>
      <c r="D32" s="462"/>
      <c r="E32" s="192" t="s">
        <v>193</v>
      </c>
      <c r="F32" s="168">
        <v>203.584</v>
      </c>
      <c r="G32" s="60"/>
      <c r="H32" s="168">
        <f>F32+G32+J31</f>
        <v>0.58599999999995589</v>
      </c>
      <c r="I32" s="362"/>
      <c r="J32" s="168">
        <f>H32-I32</f>
        <v>0.58599999999995589</v>
      </c>
      <c r="K32" s="177">
        <f t="shared" si="55"/>
        <v>0</v>
      </c>
      <c r="L32" s="463"/>
      <c r="M32" s="463"/>
      <c r="N32" s="463"/>
      <c r="O32" s="463"/>
      <c r="P32" s="464"/>
      <c r="Q32" s="465"/>
    </row>
    <row r="33" spans="2:17" ht="15" customHeight="1">
      <c r="B33" s="525"/>
      <c r="C33" s="459" t="s">
        <v>155</v>
      </c>
      <c r="D33" s="461">
        <v>2.586E-4</v>
      </c>
      <c r="E33" s="192" t="s">
        <v>192</v>
      </c>
      <c r="F33" s="168">
        <v>5.65</v>
      </c>
      <c r="G33" s="60"/>
      <c r="H33" s="168">
        <f>F33+G33</f>
        <v>5.65</v>
      </c>
      <c r="I33" s="362"/>
      <c r="J33" s="168">
        <f t="shared" ref="J33:J64" si="57">H33-I33</f>
        <v>5.65</v>
      </c>
      <c r="K33" s="177">
        <f t="shared" si="55"/>
        <v>0</v>
      </c>
      <c r="L33" s="463">
        <f t="shared" ref="L33" si="58">F33+F34</f>
        <v>6.2780000000000005</v>
      </c>
      <c r="M33" s="463">
        <f t="shared" ref="M33" si="59">G33+G34</f>
        <v>0</v>
      </c>
      <c r="N33" s="463">
        <f t="shared" ref="N33" si="60">L33+M33</f>
        <v>6.2780000000000005</v>
      </c>
      <c r="O33" s="463">
        <f t="shared" ref="O33" si="61">I33+I34</f>
        <v>0</v>
      </c>
      <c r="P33" s="464">
        <f t="shared" ref="P33" si="62">N33-O33</f>
        <v>6.2780000000000005</v>
      </c>
      <c r="Q33" s="465">
        <f t="shared" ref="Q33" si="63">O33/N33</f>
        <v>0</v>
      </c>
    </row>
    <row r="34" spans="2:17" ht="15" customHeight="1">
      <c r="B34" s="525"/>
      <c r="C34" s="460"/>
      <c r="D34" s="462"/>
      <c r="E34" s="192" t="s">
        <v>193</v>
      </c>
      <c r="F34" s="168">
        <v>0.628</v>
      </c>
      <c r="G34" s="60"/>
      <c r="H34" s="168">
        <f>F34+G34+J33</f>
        <v>6.2780000000000005</v>
      </c>
      <c r="I34" s="362"/>
      <c r="J34" s="168">
        <f t="shared" si="57"/>
        <v>6.2780000000000005</v>
      </c>
      <c r="K34" s="177">
        <f t="shared" si="55"/>
        <v>0</v>
      </c>
      <c r="L34" s="463"/>
      <c r="M34" s="463"/>
      <c r="N34" s="463"/>
      <c r="O34" s="463"/>
      <c r="P34" s="464"/>
      <c r="Q34" s="465"/>
    </row>
    <row r="35" spans="2:17" ht="15" customHeight="1">
      <c r="B35" s="525"/>
      <c r="C35" s="459" t="s">
        <v>156</v>
      </c>
      <c r="D35" s="461">
        <v>3.7678999999999998E-3</v>
      </c>
      <c r="E35" s="192" t="s">
        <v>192</v>
      </c>
      <c r="F35" s="168">
        <v>82.325000000000003</v>
      </c>
      <c r="G35" s="60"/>
      <c r="H35" s="168">
        <f>F35+G35</f>
        <v>82.325000000000003</v>
      </c>
      <c r="I35" s="362"/>
      <c r="J35" s="168">
        <f t="shared" si="57"/>
        <v>82.325000000000003</v>
      </c>
      <c r="K35" s="177">
        <f t="shared" si="55"/>
        <v>0</v>
      </c>
      <c r="L35" s="463">
        <f t="shared" ref="L35" si="64">F35+F36</f>
        <v>91.472999999999999</v>
      </c>
      <c r="M35" s="463">
        <f t="shared" ref="M35" si="65">G35+G36</f>
        <v>0</v>
      </c>
      <c r="N35" s="463">
        <f t="shared" ref="N35" si="66">L35+M35</f>
        <v>91.472999999999999</v>
      </c>
      <c r="O35" s="463">
        <f t="shared" ref="O35" si="67">I35+I36</f>
        <v>0</v>
      </c>
      <c r="P35" s="464">
        <f t="shared" ref="P35" si="68">N35-O35</f>
        <v>91.472999999999999</v>
      </c>
      <c r="Q35" s="465">
        <f t="shared" ref="Q35" si="69">O35/N35</f>
        <v>0</v>
      </c>
    </row>
    <row r="36" spans="2:17" ht="15" customHeight="1">
      <c r="B36" s="525"/>
      <c r="C36" s="460"/>
      <c r="D36" s="462"/>
      <c r="E36" s="192" t="s">
        <v>193</v>
      </c>
      <c r="F36" s="168">
        <v>9.1479999999999997</v>
      </c>
      <c r="G36" s="60"/>
      <c r="H36" s="168">
        <f>F36+G36+J35</f>
        <v>91.472999999999999</v>
      </c>
      <c r="I36" s="362"/>
      <c r="J36" s="168">
        <f t="shared" si="57"/>
        <v>91.472999999999999</v>
      </c>
      <c r="K36" s="177">
        <f t="shared" si="55"/>
        <v>0</v>
      </c>
      <c r="L36" s="463"/>
      <c r="M36" s="463"/>
      <c r="N36" s="463"/>
      <c r="O36" s="463"/>
      <c r="P36" s="464"/>
      <c r="Q36" s="465"/>
    </row>
    <row r="37" spans="2:17" ht="15" customHeight="1">
      <c r="B37" s="525"/>
      <c r="C37" s="459" t="s">
        <v>157</v>
      </c>
      <c r="D37" s="461">
        <v>0.22824359999999999</v>
      </c>
      <c r="E37" s="192" t="s">
        <v>192</v>
      </c>
      <c r="F37" s="168">
        <v>4986.8940000000002</v>
      </c>
      <c r="G37" s="60">
        <v>-5000</v>
      </c>
      <c r="H37" s="168">
        <f>F37+G37</f>
        <v>-13.105999999999767</v>
      </c>
      <c r="I37" s="362"/>
      <c r="J37" s="168">
        <f t="shared" si="57"/>
        <v>-13.105999999999767</v>
      </c>
      <c r="K37" s="177">
        <f t="shared" si="55"/>
        <v>0</v>
      </c>
      <c r="L37" s="463">
        <f t="shared" ref="L37" si="70">F37+F38</f>
        <v>5541.0690000000004</v>
      </c>
      <c r="M37" s="463">
        <f t="shared" ref="M37" si="71">G37+G38</f>
        <v>-5000</v>
      </c>
      <c r="N37" s="463">
        <f t="shared" ref="N37" si="72">L37+M37</f>
        <v>541.06900000000041</v>
      </c>
      <c r="O37" s="463">
        <f t="shared" ref="O37" si="73">I37+I38</f>
        <v>0</v>
      </c>
      <c r="P37" s="464">
        <f t="shared" ref="P37" si="74">N37-O37</f>
        <v>541.06900000000041</v>
      </c>
      <c r="Q37" s="465">
        <f t="shared" ref="Q37" si="75">O37/N37</f>
        <v>0</v>
      </c>
    </row>
    <row r="38" spans="2:17" ht="15" customHeight="1">
      <c r="B38" s="525"/>
      <c r="C38" s="460"/>
      <c r="D38" s="462"/>
      <c r="E38" s="192" t="s">
        <v>193</v>
      </c>
      <c r="F38" s="168">
        <v>554.17499999999995</v>
      </c>
      <c r="G38" s="60"/>
      <c r="H38" s="168">
        <f>F38+G38+J37</f>
        <v>541.06900000000019</v>
      </c>
      <c r="I38" s="362"/>
      <c r="J38" s="168">
        <f t="shared" si="57"/>
        <v>541.06900000000019</v>
      </c>
      <c r="K38" s="177">
        <f t="shared" si="55"/>
        <v>0</v>
      </c>
      <c r="L38" s="463"/>
      <c r="M38" s="463"/>
      <c r="N38" s="463"/>
      <c r="O38" s="463"/>
      <c r="P38" s="464"/>
      <c r="Q38" s="465"/>
    </row>
    <row r="39" spans="2:17" ht="15" customHeight="1">
      <c r="B39" s="525"/>
      <c r="C39" s="460" t="s">
        <v>146</v>
      </c>
      <c r="D39" s="461">
        <v>7.4307399999999996E-2</v>
      </c>
      <c r="E39" s="192" t="s">
        <v>192</v>
      </c>
      <c r="F39" s="168">
        <v>1623.5429999999999</v>
      </c>
      <c r="G39" s="60">
        <f>-1440-361.946</f>
        <v>-1801.9459999999999</v>
      </c>
      <c r="H39" s="168">
        <f>F39+G39</f>
        <v>-178.40300000000002</v>
      </c>
      <c r="I39" s="362"/>
      <c r="J39" s="168">
        <f t="shared" si="57"/>
        <v>-178.40300000000002</v>
      </c>
      <c r="K39" s="177">
        <f t="shared" si="55"/>
        <v>0</v>
      </c>
      <c r="L39" s="463">
        <f t="shared" ref="L39" si="76">F39+F40</f>
        <v>1803.9609999999998</v>
      </c>
      <c r="M39" s="463">
        <f t="shared" ref="M39" si="77">G39+G40</f>
        <v>-1801.9459999999999</v>
      </c>
      <c r="N39" s="463">
        <f t="shared" ref="N39" si="78">L39+M39</f>
        <v>2.0149999999998727</v>
      </c>
      <c r="O39" s="463">
        <f t="shared" ref="O39" si="79">I39+I40</f>
        <v>0</v>
      </c>
      <c r="P39" s="464">
        <f t="shared" ref="P39" si="80">N39-O39</f>
        <v>2.0149999999998727</v>
      </c>
      <c r="Q39" s="465">
        <f t="shared" ref="Q39" si="81">O39/N39</f>
        <v>0</v>
      </c>
    </row>
    <row r="40" spans="2:17" ht="15" customHeight="1">
      <c r="B40" s="525"/>
      <c r="C40" s="510"/>
      <c r="D40" s="462"/>
      <c r="E40" s="192" t="s">
        <v>193</v>
      </c>
      <c r="F40" s="168">
        <v>180.41800000000001</v>
      </c>
      <c r="G40" s="60"/>
      <c r="H40" s="168">
        <f t="shared" ref="H40" si="82">F40+G40+J39</f>
        <v>2.0149999999999864</v>
      </c>
      <c r="I40" s="362"/>
      <c r="J40" s="168">
        <f t="shared" si="57"/>
        <v>2.0149999999999864</v>
      </c>
      <c r="K40" s="177">
        <f t="shared" si="55"/>
        <v>0</v>
      </c>
      <c r="L40" s="463"/>
      <c r="M40" s="463"/>
      <c r="N40" s="463"/>
      <c r="O40" s="463"/>
      <c r="P40" s="464"/>
      <c r="Q40" s="465"/>
    </row>
    <row r="41" spans="2:17" ht="15" customHeight="1">
      <c r="B41" s="525"/>
      <c r="C41" s="459" t="s">
        <v>150</v>
      </c>
      <c r="D41" s="461">
        <v>4.77898E-2</v>
      </c>
      <c r="E41" s="192" t="s">
        <v>192</v>
      </c>
      <c r="F41" s="168">
        <v>1044.1600000000001</v>
      </c>
      <c r="G41" s="168">
        <f>-1160+291.32+291.324+291.324-1165.296</f>
        <v>-1451.328</v>
      </c>
      <c r="H41" s="168">
        <f>F41+G41</f>
        <v>-407.16799999999989</v>
      </c>
      <c r="I41" s="362"/>
      <c r="J41" s="168">
        <f t="shared" si="57"/>
        <v>-407.16799999999989</v>
      </c>
      <c r="K41" s="177">
        <f t="shared" si="55"/>
        <v>0</v>
      </c>
      <c r="L41" s="463">
        <f t="shared" ref="L41" si="83">F41+F42</f>
        <v>1160.1940000000002</v>
      </c>
      <c r="M41" s="463">
        <f t="shared" ref="M41" si="84">G41+G42</f>
        <v>-1451.328</v>
      </c>
      <c r="N41" s="463">
        <f t="shared" ref="N41" si="85">L41+M41</f>
        <v>-291.13399999999979</v>
      </c>
      <c r="O41" s="463">
        <f t="shared" ref="O41" si="86">I41+I42</f>
        <v>0</v>
      </c>
      <c r="P41" s="464">
        <f t="shared" ref="P41" si="87">N41-O41</f>
        <v>-291.13399999999979</v>
      </c>
      <c r="Q41" s="465">
        <f t="shared" ref="Q41" si="88">O41/N41</f>
        <v>0</v>
      </c>
    </row>
    <row r="42" spans="2:17" ht="15" customHeight="1">
      <c r="B42" s="525"/>
      <c r="C42" s="460"/>
      <c r="D42" s="462"/>
      <c r="E42" s="192" t="s">
        <v>193</v>
      </c>
      <c r="F42" s="168">
        <v>116.03400000000001</v>
      </c>
      <c r="G42" s="60"/>
      <c r="H42" s="168">
        <f>F42+G42+J41</f>
        <v>-291.1339999999999</v>
      </c>
      <c r="I42" s="362"/>
      <c r="J42" s="168">
        <f t="shared" si="57"/>
        <v>-291.1339999999999</v>
      </c>
      <c r="K42" s="177">
        <f t="shared" si="55"/>
        <v>0</v>
      </c>
      <c r="L42" s="463"/>
      <c r="M42" s="463"/>
      <c r="N42" s="463"/>
      <c r="O42" s="463"/>
      <c r="P42" s="464"/>
      <c r="Q42" s="465"/>
    </row>
    <row r="43" spans="2:17" ht="15" customHeight="1">
      <c r="B43" s="525"/>
      <c r="C43" s="459" t="s">
        <v>158</v>
      </c>
      <c r="D43" s="461">
        <v>9.5560000000000003E-4</v>
      </c>
      <c r="E43" s="192" t="s">
        <v>192</v>
      </c>
      <c r="F43" s="168">
        <v>20.879000000000001</v>
      </c>
      <c r="G43" s="60"/>
      <c r="H43" s="168">
        <f>F43+G43</f>
        <v>20.879000000000001</v>
      </c>
      <c r="I43" s="362"/>
      <c r="J43" s="168">
        <f t="shared" si="57"/>
        <v>20.879000000000001</v>
      </c>
      <c r="K43" s="177">
        <f t="shared" si="55"/>
        <v>0</v>
      </c>
      <c r="L43" s="463">
        <f t="shared" ref="L43" si="89">F43+F44</f>
        <v>23.199000000000002</v>
      </c>
      <c r="M43" s="463">
        <f t="shared" ref="M43" si="90">G43+G44</f>
        <v>0</v>
      </c>
      <c r="N43" s="463">
        <f t="shared" ref="N43" si="91">L43+M43</f>
        <v>23.199000000000002</v>
      </c>
      <c r="O43" s="463">
        <f t="shared" ref="O43" si="92">I43+I44</f>
        <v>0</v>
      </c>
      <c r="P43" s="464">
        <f t="shared" ref="P43" si="93">N43-O43</f>
        <v>23.199000000000002</v>
      </c>
      <c r="Q43" s="465">
        <f t="shared" ref="Q43" si="94">O43/N43</f>
        <v>0</v>
      </c>
    </row>
    <row r="44" spans="2:17" ht="15" customHeight="1">
      <c r="B44" s="525"/>
      <c r="C44" s="460"/>
      <c r="D44" s="462"/>
      <c r="E44" s="192" t="s">
        <v>193</v>
      </c>
      <c r="F44" s="168">
        <v>2.3199999999999998</v>
      </c>
      <c r="G44" s="60"/>
      <c r="H44" s="168">
        <f>F44+G44+J43</f>
        <v>23.199000000000002</v>
      </c>
      <c r="I44" s="362"/>
      <c r="J44" s="168">
        <f t="shared" si="57"/>
        <v>23.199000000000002</v>
      </c>
      <c r="K44" s="177">
        <f t="shared" si="55"/>
        <v>0</v>
      </c>
      <c r="L44" s="463"/>
      <c r="M44" s="463"/>
      <c r="N44" s="463"/>
      <c r="O44" s="463"/>
      <c r="P44" s="464"/>
      <c r="Q44" s="465"/>
    </row>
    <row r="45" spans="2:17" ht="15" customHeight="1">
      <c r="B45" s="525"/>
      <c r="C45" s="459" t="s">
        <v>151</v>
      </c>
      <c r="D45" s="461">
        <v>7.0410000000000004E-3</v>
      </c>
      <c r="E45" s="192" t="s">
        <v>192</v>
      </c>
      <c r="F45" s="168">
        <v>153.839</v>
      </c>
      <c r="G45" s="60">
        <v>-0.48599999999999999</v>
      </c>
      <c r="H45" s="168">
        <f>F45+G45</f>
        <v>153.35300000000001</v>
      </c>
      <c r="I45" s="362"/>
      <c r="J45" s="168">
        <f t="shared" si="57"/>
        <v>153.35300000000001</v>
      </c>
      <c r="K45" s="177">
        <f t="shared" si="55"/>
        <v>0</v>
      </c>
      <c r="L45" s="463">
        <f t="shared" ref="L45" si="95">F45+F46</f>
        <v>170.92699999999999</v>
      </c>
      <c r="M45" s="463">
        <f t="shared" ref="M45" si="96">G45+G46</f>
        <v>-0.48599999999999999</v>
      </c>
      <c r="N45" s="463">
        <f t="shared" ref="N45" si="97">L45+M45</f>
        <v>170.441</v>
      </c>
      <c r="O45" s="463">
        <f t="shared" ref="O45" si="98">I45+I46</f>
        <v>0</v>
      </c>
      <c r="P45" s="464">
        <f t="shared" ref="P45" si="99">N45-O45</f>
        <v>170.441</v>
      </c>
      <c r="Q45" s="465">
        <f t="shared" ref="Q45" si="100">O45/N45</f>
        <v>0</v>
      </c>
    </row>
    <row r="46" spans="2:17" ht="15" customHeight="1">
      <c r="B46" s="525"/>
      <c r="C46" s="460"/>
      <c r="D46" s="462"/>
      <c r="E46" s="192" t="s">
        <v>193</v>
      </c>
      <c r="F46" s="168">
        <v>17.088000000000001</v>
      </c>
      <c r="G46" s="60"/>
      <c r="H46" s="168">
        <f>F46+G46+J45</f>
        <v>170.441</v>
      </c>
      <c r="I46" s="362"/>
      <c r="J46" s="168">
        <f t="shared" si="57"/>
        <v>170.441</v>
      </c>
      <c r="K46" s="177">
        <f t="shared" si="55"/>
        <v>0</v>
      </c>
      <c r="L46" s="463"/>
      <c r="M46" s="463"/>
      <c r="N46" s="463"/>
      <c r="O46" s="463"/>
      <c r="P46" s="464"/>
      <c r="Q46" s="465"/>
    </row>
    <row r="47" spans="2:17" ht="15" customHeight="1">
      <c r="B47" s="525"/>
      <c r="C47" s="459" t="s">
        <v>159</v>
      </c>
      <c r="D47" s="461">
        <v>4.4999999999999997E-3</v>
      </c>
      <c r="E47" s="192" t="s">
        <v>192</v>
      </c>
      <c r="F47" s="168">
        <v>98.320999999999998</v>
      </c>
      <c r="G47" s="168"/>
      <c r="H47" s="168">
        <f>F47+G47</f>
        <v>98.320999999999998</v>
      </c>
      <c r="I47" s="362"/>
      <c r="J47" s="168">
        <f t="shared" si="57"/>
        <v>98.320999999999998</v>
      </c>
      <c r="K47" s="177">
        <f t="shared" si="55"/>
        <v>0</v>
      </c>
      <c r="L47" s="463">
        <f t="shared" ref="L47" si="101">F47+F48</f>
        <v>109.247</v>
      </c>
      <c r="M47" s="463">
        <f t="shared" ref="M47" si="102">G47+G48</f>
        <v>0</v>
      </c>
      <c r="N47" s="463">
        <f t="shared" ref="N47" si="103">L47+M47</f>
        <v>109.247</v>
      </c>
      <c r="O47" s="463">
        <f t="shared" ref="O47" si="104">I47+I48</f>
        <v>0</v>
      </c>
      <c r="P47" s="464">
        <f t="shared" ref="P47" si="105">N47-O47</f>
        <v>109.247</v>
      </c>
      <c r="Q47" s="465">
        <f t="shared" ref="Q47" si="106">O47/N47</f>
        <v>0</v>
      </c>
    </row>
    <row r="48" spans="2:17" ht="15" customHeight="1">
      <c r="B48" s="525"/>
      <c r="C48" s="460"/>
      <c r="D48" s="462"/>
      <c r="E48" s="192" t="s">
        <v>193</v>
      </c>
      <c r="F48" s="168">
        <v>10.926</v>
      </c>
      <c r="G48" s="168"/>
      <c r="H48" s="168">
        <f>F48+G48+J47</f>
        <v>109.247</v>
      </c>
      <c r="I48" s="362"/>
      <c r="J48" s="168">
        <f t="shared" si="57"/>
        <v>109.247</v>
      </c>
      <c r="K48" s="177">
        <f t="shared" si="55"/>
        <v>0</v>
      </c>
      <c r="L48" s="463"/>
      <c r="M48" s="463"/>
      <c r="N48" s="463"/>
      <c r="O48" s="463"/>
      <c r="P48" s="464"/>
      <c r="Q48" s="465"/>
    </row>
    <row r="49" spans="2:17" ht="15" customHeight="1">
      <c r="B49" s="525"/>
      <c r="C49" s="459" t="s">
        <v>160</v>
      </c>
      <c r="D49" s="461">
        <v>9.7078000000000008E-3</v>
      </c>
      <c r="E49" s="226" t="s">
        <v>192</v>
      </c>
      <c r="F49" s="284">
        <v>212.10599999999999</v>
      </c>
      <c r="G49" s="284">
        <v>-235.67599999999999</v>
      </c>
      <c r="H49" s="284">
        <f>F49+G49</f>
        <v>-23.569999999999993</v>
      </c>
      <c r="I49" s="362"/>
      <c r="J49" s="284">
        <f>H49-I49</f>
        <v>-23.569999999999993</v>
      </c>
      <c r="K49" s="177">
        <f>((G49+G50)/(F49+F50))*-1</f>
        <v>0.99999575690457698</v>
      </c>
      <c r="L49" s="463">
        <f t="shared" ref="L49" si="107">F49+F50</f>
        <v>235.67699999999999</v>
      </c>
      <c r="M49" s="463">
        <f t="shared" ref="M49" si="108">G49+G50</f>
        <v>-235.67599999999999</v>
      </c>
      <c r="N49" s="463">
        <f t="shared" ref="N49" si="109">L49+M49</f>
        <v>1.0000000000047748E-3</v>
      </c>
      <c r="O49" s="463">
        <f t="shared" ref="O49" si="110">I49+I50</f>
        <v>0</v>
      </c>
      <c r="P49" s="464">
        <f t="shared" ref="P49" si="111">N49-O49</f>
        <v>1.0000000000047748E-3</v>
      </c>
      <c r="Q49" s="465">
        <f t="shared" ref="Q49" si="112">O49/N49</f>
        <v>0</v>
      </c>
    </row>
    <row r="50" spans="2:17" ht="15" customHeight="1">
      <c r="B50" s="525"/>
      <c r="C50" s="460"/>
      <c r="D50" s="462"/>
      <c r="E50" s="226" t="s">
        <v>193</v>
      </c>
      <c r="F50" s="228">
        <v>23.571000000000002</v>
      </c>
      <c r="G50" s="228"/>
      <c r="H50" s="284">
        <f>SUM(F50,G50,J49)</f>
        <v>1.0000000000083276E-3</v>
      </c>
      <c r="I50" s="362"/>
      <c r="J50" s="284">
        <f>H50-I50</f>
        <v>1.0000000000083276E-3</v>
      </c>
      <c r="K50" s="177">
        <f>((G49+G50)/(F49+F50))*-1</f>
        <v>0.99999575690457698</v>
      </c>
      <c r="L50" s="463"/>
      <c r="M50" s="463"/>
      <c r="N50" s="463"/>
      <c r="O50" s="463"/>
      <c r="P50" s="464"/>
      <c r="Q50" s="465"/>
    </row>
    <row r="51" spans="2:17" ht="15" customHeight="1">
      <c r="B51" s="525"/>
      <c r="C51" s="459" t="s">
        <v>152</v>
      </c>
      <c r="D51" s="461">
        <v>0.51257010000000003</v>
      </c>
      <c r="E51" s="192" t="s">
        <v>192</v>
      </c>
      <c r="F51" s="168">
        <v>11199.145</v>
      </c>
      <c r="G51" s="168">
        <f>-291.324-6487-291.324-291.324-291.324</f>
        <v>-7652.2959999999985</v>
      </c>
      <c r="H51" s="168">
        <f>F51+G51</f>
        <v>3546.849000000002</v>
      </c>
      <c r="I51" s="362">
        <v>4788.4070000000002</v>
      </c>
      <c r="J51" s="168">
        <f t="shared" si="57"/>
        <v>-1241.5579999999982</v>
      </c>
      <c r="K51" s="177">
        <f t="shared" si="55"/>
        <v>1.3500453501121692</v>
      </c>
      <c r="L51" s="463">
        <f t="shared" ref="L51" si="113">F51+F52</f>
        <v>12443.665000000001</v>
      </c>
      <c r="M51" s="463">
        <f t="shared" ref="M51" si="114">G51+G52</f>
        <v>-7652.2959999999985</v>
      </c>
      <c r="N51" s="463">
        <f t="shared" ref="N51" si="115">L51+M51</f>
        <v>4791.3690000000024</v>
      </c>
      <c r="O51" s="463">
        <f t="shared" ref="O51" si="116">I51+I52</f>
        <v>4788.4070000000002</v>
      </c>
      <c r="P51" s="464">
        <f t="shared" ref="P51" si="117">N51-O51</f>
        <v>2.9620000000022628</v>
      </c>
      <c r="Q51" s="465">
        <f t="shared" ref="Q51" si="118">O51/N51</f>
        <v>0.99938180507491658</v>
      </c>
    </row>
    <row r="52" spans="2:17" ht="15" customHeight="1">
      <c r="B52" s="525"/>
      <c r="C52" s="460"/>
      <c r="D52" s="462"/>
      <c r="E52" s="192" t="s">
        <v>193</v>
      </c>
      <c r="F52" s="168">
        <v>1244.52</v>
      </c>
      <c r="G52" s="60"/>
      <c r="H52" s="168">
        <f>F52+G52+J51</f>
        <v>2.9620000000018081</v>
      </c>
      <c r="I52" s="362"/>
      <c r="J52" s="168">
        <f t="shared" si="57"/>
        <v>2.9620000000018081</v>
      </c>
      <c r="K52" s="177">
        <f t="shared" si="55"/>
        <v>0</v>
      </c>
      <c r="L52" s="463"/>
      <c r="M52" s="463"/>
      <c r="N52" s="463"/>
      <c r="O52" s="463"/>
      <c r="P52" s="464"/>
      <c r="Q52" s="465"/>
    </row>
    <row r="53" spans="2:17" ht="15" customHeight="1">
      <c r="B53" s="525"/>
      <c r="C53" s="459" t="s">
        <v>195</v>
      </c>
      <c r="D53" s="461">
        <v>2.7E-2</v>
      </c>
      <c r="E53" s="192" t="s">
        <v>192</v>
      </c>
      <c r="F53" s="286">
        <v>589.923</v>
      </c>
      <c r="G53" s="286">
        <f>-650.623+235.676</f>
        <v>-414.94700000000006</v>
      </c>
      <c r="H53" s="286">
        <f>F53+G53</f>
        <v>174.97599999999994</v>
      </c>
      <c r="I53" s="362"/>
      <c r="J53" s="168">
        <f t="shared" ref="J53:J62" si="119">H53-I53</f>
        <v>174.97599999999994</v>
      </c>
      <c r="K53" s="177">
        <f t="shared" ref="K53:K62" si="120">I53/H53</f>
        <v>0</v>
      </c>
      <c r="L53" s="463">
        <f t="shared" ref="L53" si="121">F53+F54</f>
        <v>655.47900000000004</v>
      </c>
      <c r="M53" s="463">
        <f t="shared" ref="M53" si="122">G53+G54</f>
        <v>-414.94700000000006</v>
      </c>
      <c r="N53" s="463">
        <f t="shared" ref="N53" si="123">L53+M53</f>
        <v>240.53199999999998</v>
      </c>
      <c r="O53" s="463">
        <f t="shared" ref="O53" si="124">I53+I54</f>
        <v>0</v>
      </c>
      <c r="P53" s="464">
        <f t="shared" ref="P53" si="125">N53-O53</f>
        <v>240.53199999999998</v>
      </c>
      <c r="Q53" s="465">
        <f t="shared" ref="Q53" si="126">O53/N53</f>
        <v>0</v>
      </c>
    </row>
    <row r="54" spans="2:17" ht="15" customHeight="1">
      <c r="B54" s="525"/>
      <c r="C54" s="460"/>
      <c r="D54" s="462"/>
      <c r="E54" s="192" t="s">
        <v>193</v>
      </c>
      <c r="F54" s="286">
        <v>65.555999999999997</v>
      </c>
      <c r="G54" s="287"/>
      <c r="H54" s="286">
        <f>F54+G54+J53</f>
        <v>240.53199999999993</v>
      </c>
      <c r="I54" s="362"/>
      <c r="J54" s="168">
        <f t="shared" si="119"/>
        <v>240.53199999999993</v>
      </c>
      <c r="K54" s="177">
        <f t="shared" si="120"/>
        <v>0</v>
      </c>
      <c r="L54" s="463"/>
      <c r="M54" s="463"/>
      <c r="N54" s="463"/>
      <c r="O54" s="463"/>
      <c r="P54" s="464"/>
      <c r="Q54" s="465"/>
    </row>
    <row r="55" spans="2:17" ht="15" customHeight="1">
      <c r="B55" s="525"/>
      <c r="C55" s="459" t="s">
        <v>255</v>
      </c>
      <c r="D55" s="461">
        <v>0</v>
      </c>
      <c r="E55" s="192" t="s">
        <v>192</v>
      </c>
      <c r="F55" s="219">
        <v>0</v>
      </c>
      <c r="G55" s="283">
        <f>235.676-235.676</f>
        <v>0</v>
      </c>
      <c r="H55" s="232">
        <f t="shared" ref="H55" si="127">F55+G55</f>
        <v>0</v>
      </c>
      <c r="I55" s="362"/>
      <c r="J55" s="232">
        <f t="shared" si="119"/>
        <v>0</v>
      </c>
      <c r="K55" s="177" t="e">
        <f t="shared" si="120"/>
        <v>#DIV/0!</v>
      </c>
      <c r="L55" s="463">
        <f t="shared" ref="L55" si="128">F55+F56</f>
        <v>0</v>
      </c>
      <c r="M55" s="463">
        <f t="shared" ref="M55" si="129">G55+G56</f>
        <v>0</v>
      </c>
      <c r="N55" s="463">
        <f t="shared" ref="N55" si="130">L55+M55</f>
        <v>0</v>
      </c>
      <c r="O55" s="463">
        <f t="shared" ref="O55" si="131">I55+I56</f>
        <v>0</v>
      </c>
      <c r="P55" s="464">
        <f t="shared" ref="P55" si="132">N55-O55</f>
        <v>0</v>
      </c>
      <c r="Q55" s="465" t="e">
        <f t="shared" ref="Q55" si="133">O55/N55</f>
        <v>#DIV/0!</v>
      </c>
    </row>
    <row r="56" spans="2:17" ht="15" customHeight="1">
      <c r="B56" s="525"/>
      <c r="C56" s="460"/>
      <c r="D56" s="462"/>
      <c r="E56" s="192" t="s">
        <v>193</v>
      </c>
      <c r="F56" s="219">
        <v>0</v>
      </c>
      <c r="G56" s="220"/>
      <c r="H56" s="232">
        <f t="shared" ref="H56" si="134">F56+G56+J55</f>
        <v>0</v>
      </c>
      <c r="I56" s="362"/>
      <c r="J56" s="232">
        <f t="shared" si="119"/>
        <v>0</v>
      </c>
      <c r="K56" s="177" t="e">
        <f t="shared" si="120"/>
        <v>#DIV/0!</v>
      </c>
      <c r="L56" s="463"/>
      <c r="M56" s="463"/>
      <c r="N56" s="463"/>
      <c r="O56" s="463"/>
      <c r="P56" s="464"/>
      <c r="Q56" s="465"/>
    </row>
    <row r="57" spans="2:17" ht="15" customHeight="1">
      <c r="B57" s="525"/>
      <c r="C57" s="459" t="s">
        <v>253</v>
      </c>
      <c r="D57" s="461">
        <v>0</v>
      </c>
      <c r="E57" s="192" t="s">
        <v>192</v>
      </c>
      <c r="F57" s="168">
        <v>0</v>
      </c>
      <c r="G57" s="168">
        <f>291.324+291.324+291.324+291.324-291.32-291.324-291.324</f>
        <v>291.32800000000003</v>
      </c>
      <c r="H57" s="232">
        <f t="shared" ref="H57" si="135">F57+G57</f>
        <v>291.32800000000003</v>
      </c>
      <c r="I57" s="362"/>
      <c r="J57" s="232">
        <f t="shared" si="119"/>
        <v>291.32800000000003</v>
      </c>
      <c r="K57" s="177">
        <f t="shared" si="120"/>
        <v>0</v>
      </c>
      <c r="L57" s="463">
        <f t="shared" ref="L57" si="136">F57+F58</f>
        <v>0</v>
      </c>
      <c r="M57" s="463">
        <f t="shared" ref="M57" si="137">G57+G58</f>
        <v>291.32800000000003</v>
      </c>
      <c r="N57" s="463">
        <f t="shared" ref="N57" si="138">L57+M57</f>
        <v>291.32800000000003</v>
      </c>
      <c r="O57" s="463">
        <f t="shared" ref="O57" si="139">I57+I58</f>
        <v>0</v>
      </c>
      <c r="P57" s="464">
        <f t="shared" ref="P57" si="140">N57-O57</f>
        <v>291.32800000000003</v>
      </c>
      <c r="Q57" s="465">
        <f t="shared" ref="Q57" si="141">O57/N57</f>
        <v>0</v>
      </c>
    </row>
    <row r="58" spans="2:17" ht="15" customHeight="1">
      <c r="B58" s="525"/>
      <c r="C58" s="460"/>
      <c r="D58" s="462"/>
      <c r="E58" s="192" t="s">
        <v>193</v>
      </c>
      <c r="F58" s="168">
        <v>0</v>
      </c>
      <c r="G58" s="60"/>
      <c r="H58" s="232">
        <f t="shared" ref="H58" si="142">F58+G58+J57</f>
        <v>291.32800000000003</v>
      </c>
      <c r="I58" s="362"/>
      <c r="J58" s="232">
        <f t="shared" si="119"/>
        <v>291.32800000000003</v>
      </c>
      <c r="K58" s="177">
        <f t="shared" si="120"/>
        <v>0</v>
      </c>
      <c r="L58" s="463"/>
      <c r="M58" s="463"/>
      <c r="N58" s="463"/>
      <c r="O58" s="463"/>
      <c r="P58" s="464"/>
      <c r="Q58" s="465"/>
    </row>
    <row r="59" spans="2:17" ht="15" customHeight="1">
      <c r="B59" s="525"/>
      <c r="C59" s="459" t="s">
        <v>147</v>
      </c>
      <c r="D59" s="461">
        <v>0</v>
      </c>
      <c r="E59" s="400" t="s">
        <v>192</v>
      </c>
      <c r="F59" s="398">
        <v>0</v>
      </c>
      <c r="G59" s="398">
        <v>361.94600000000003</v>
      </c>
      <c r="H59" s="398">
        <f t="shared" ref="H59" si="143">F59+G59</f>
        <v>361.94600000000003</v>
      </c>
      <c r="I59" s="362"/>
      <c r="J59" s="398">
        <f t="shared" ref="J59:J60" si="144">H59-I59</f>
        <v>361.94600000000003</v>
      </c>
      <c r="K59" s="177">
        <f t="shared" ref="K59:K60" si="145">I59/H59</f>
        <v>0</v>
      </c>
      <c r="L59" s="463">
        <f t="shared" ref="L59" si="146">F59+F60</f>
        <v>0</v>
      </c>
      <c r="M59" s="463">
        <f t="shared" ref="M59" si="147">G59+G60</f>
        <v>361.94600000000003</v>
      </c>
      <c r="N59" s="463">
        <f t="shared" ref="N59" si="148">L59+M59</f>
        <v>361.94600000000003</v>
      </c>
      <c r="O59" s="463">
        <f t="shared" ref="O59" si="149">I59+I60</f>
        <v>0</v>
      </c>
      <c r="P59" s="464">
        <f t="shared" ref="P59" si="150">N59-O59</f>
        <v>361.94600000000003</v>
      </c>
      <c r="Q59" s="465">
        <f t="shared" ref="Q59" si="151">O59/N59</f>
        <v>0</v>
      </c>
    </row>
    <row r="60" spans="2:17" ht="15" customHeight="1">
      <c r="B60" s="525"/>
      <c r="C60" s="460"/>
      <c r="D60" s="462"/>
      <c r="E60" s="400" t="s">
        <v>193</v>
      </c>
      <c r="F60" s="398">
        <v>0</v>
      </c>
      <c r="G60" s="401"/>
      <c r="H60" s="398">
        <f t="shared" ref="H60" si="152">F60+G60+J59</f>
        <v>361.94600000000003</v>
      </c>
      <c r="I60" s="362"/>
      <c r="J60" s="398">
        <f t="shared" si="144"/>
        <v>361.94600000000003</v>
      </c>
      <c r="K60" s="177">
        <f t="shared" si="145"/>
        <v>0</v>
      </c>
      <c r="L60" s="463"/>
      <c r="M60" s="463"/>
      <c r="N60" s="463"/>
      <c r="O60" s="463"/>
      <c r="P60" s="464"/>
      <c r="Q60" s="465"/>
    </row>
    <row r="61" spans="2:17" ht="15" customHeight="1">
      <c r="B61" s="525"/>
      <c r="C61" s="521" t="s">
        <v>161</v>
      </c>
      <c r="D61" s="461">
        <v>1.0000000000000001E-5</v>
      </c>
      <c r="E61" s="192" t="s">
        <v>192</v>
      </c>
      <c r="F61" s="308">
        <v>0.218</v>
      </c>
      <c r="G61" s="308">
        <v>0.48599999999999999</v>
      </c>
      <c r="H61" s="308">
        <f t="shared" ref="H61" si="153">F61+G61</f>
        <v>0.70399999999999996</v>
      </c>
      <c r="I61" s="362"/>
      <c r="J61" s="232">
        <f t="shared" si="119"/>
        <v>0.70399999999999996</v>
      </c>
      <c r="K61" s="177">
        <f t="shared" si="120"/>
        <v>0</v>
      </c>
      <c r="L61" s="463">
        <f t="shared" ref="L61" si="154">F61+F62</f>
        <v>0.24199999999999999</v>
      </c>
      <c r="M61" s="463">
        <f t="shared" ref="M61" si="155">G61+G62</f>
        <v>0.48599999999999999</v>
      </c>
      <c r="N61" s="463">
        <f t="shared" ref="N61" si="156">L61+M61</f>
        <v>0.72799999999999998</v>
      </c>
      <c r="O61" s="463">
        <f t="shared" ref="O61" si="157">I61+I62</f>
        <v>0</v>
      </c>
      <c r="P61" s="464">
        <f t="shared" ref="P61" si="158">N61-O61</f>
        <v>0.72799999999999998</v>
      </c>
      <c r="Q61" s="465">
        <f t="shared" ref="Q61" si="159">O61/N61</f>
        <v>0</v>
      </c>
    </row>
    <row r="62" spans="2:17" ht="15.75" customHeight="1">
      <c r="B62" s="525"/>
      <c r="C62" s="460"/>
      <c r="D62" s="462"/>
      <c r="E62" s="192" t="s">
        <v>193</v>
      </c>
      <c r="F62" s="308">
        <v>2.4E-2</v>
      </c>
      <c r="G62" s="309"/>
      <c r="H62" s="308">
        <f t="shared" ref="H62" si="160">F62+G62+J61</f>
        <v>0.72799999999999998</v>
      </c>
      <c r="I62" s="362"/>
      <c r="J62" s="232">
        <f t="shared" si="119"/>
        <v>0.72799999999999998</v>
      </c>
      <c r="K62" s="177">
        <f t="shared" si="120"/>
        <v>0</v>
      </c>
      <c r="L62" s="463"/>
      <c r="M62" s="463"/>
      <c r="N62" s="463"/>
      <c r="O62" s="463"/>
      <c r="P62" s="464"/>
      <c r="Q62" s="465"/>
    </row>
    <row r="63" spans="2:17">
      <c r="B63" s="525"/>
      <c r="C63" s="526" t="s">
        <v>68</v>
      </c>
      <c r="D63" s="461"/>
      <c r="E63" s="69" t="s">
        <v>56</v>
      </c>
      <c r="F63" s="178">
        <f>F31+F33+F35+F37+F39+F41+F43+F45+F47+F49+F51+F53+F61</f>
        <v>21849.005000000001</v>
      </c>
      <c r="G63" s="178">
        <f>G31+G33+G35+G37+G39+G41+G43+G45+G47+G49+G51+G61+G53+G55+G57+G59</f>
        <v>-17937.918999999994</v>
      </c>
      <c r="H63" s="178">
        <f>F63+G63</f>
        <v>3911.0860000000066</v>
      </c>
      <c r="I63" s="313">
        <f>I31+I33+I35+I37+I39+I41+I43+I45+I47+I49+I51+I61</f>
        <v>4788.4070000000002</v>
      </c>
      <c r="J63" s="178">
        <f>H63-I63</f>
        <v>-877.32099999999355</v>
      </c>
      <c r="K63" s="179">
        <f>I63/H63</f>
        <v>1.2243164686227794</v>
      </c>
      <c r="L63" s="501">
        <f>SUM(L31:L62)</f>
        <v>24276.996999999996</v>
      </c>
      <c r="M63" s="501">
        <f>SUM(M31:M62)</f>
        <v>-17937.918999999994</v>
      </c>
      <c r="N63" s="501">
        <f>L63+M63</f>
        <v>6339.0780000000013</v>
      </c>
      <c r="O63" s="501">
        <f>SUM(O31:O62)</f>
        <v>4788.4070000000002</v>
      </c>
      <c r="P63" s="504">
        <f>N63-O63</f>
        <v>1550.6710000000012</v>
      </c>
      <c r="Q63" s="465">
        <f t="shared" ref="Q63" si="161">O63/N63</f>
        <v>0.7553790945623321</v>
      </c>
    </row>
    <row r="64" spans="2:17">
      <c r="B64" s="525"/>
      <c r="C64" s="527"/>
      <c r="D64" s="462"/>
      <c r="E64" s="69" t="s">
        <v>56</v>
      </c>
      <c r="F64" s="61">
        <f>F32+F34+F36+F38+F40+F42+F44+F46+F48+F50+F52+F54+F62</f>
        <v>2427.9919999999997</v>
      </c>
      <c r="G64" s="61">
        <f>G32+G34+G36+G38+G40+G42+G44+G46+G48+G50+G52+G54+G62+G56+G58</f>
        <v>0</v>
      </c>
      <c r="H64" s="61">
        <f>F64+G64+J63</f>
        <v>1550.6710000000062</v>
      </c>
      <c r="I64" s="311">
        <f>I32+I34+I36+I38+I40+I42+I44+I46+I48+I50+I52+I62</f>
        <v>0</v>
      </c>
      <c r="J64" s="61">
        <f t="shared" si="57"/>
        <v>1550.6710000000062</v>
      </c>
      <c r="K64" s="176">
        <f t="shared" si="55"/>
        <v>0</v>
      </c>
      <c r="L64" s="490"/>
      <c r="M64" s="490"/>
      <c r="N64" s="490"/>
      <c r="O64" s="490"/>
      <c r="P64" s="505"/>
      <c r="Q64" s="465"/>
    </row>
    <row r="65" spans="2:16384">
      <c r="B65" s="525"/>
      <c r="C65" s="527"/>
      <c r="D65" s="351"/>
      <c r="E65" s="70"/>
      <c r="F65" s="61">
        <f>SUM(F63,F64)</f>
        <v>24276.996999999999</v>
      </c>
      <c r="G65" s="71"/>
      <c r="H65" s="72"/>
      <c r="I65" s="312"/>
      <c r="J65" s="65"/>
      <c r="K65" s="66"/>
      <c r="L65" s="73"/>
      <c r="M65" s="73"/>
      <c r="N65" s="73"/>
      <c r="O65" s="73"/>
      <c r="P65" s="74"/>
      <c r="Q65" s="68"/>
    </row>
    <row r="66" spans="2:16384">
      <c r="B66" s="35"/>
      <c r="C66" s="132"/>
      <c r="D66" s="350"/>
      <c r="E66" s="35"/>
      <c r="F66" s="65"/>
      <c r="G66" s="65"/>
      <c r="H66" s="65"/>
      <c r="I66" s="312"/>
      <c r="J66" s="65"/>
      <c r="K66" s="66"/>
      <c r="L66" s="73"/>
      <c r="M66" s="73"/>
      <c r="N66" s="73"/>
      <c r="O66" s="73"/>
      <c r="P66" s="74"/>
      <c r="Q66" s="68"/>
    </row>
    <row r="67" spans="2:16384">
      <c r="B67" s="35"/>
      <c r="C67" s="132"/>
      <c r="D67" s="350"/>
      <c r="E67" s="35"/>
      <c r="F67" s="65"/>
      <c r="G67" s="65"/>
      <c r="H67" s="65"/>
      <c r="I67" s="312"/>
      <c r="J67" s="65"/>
      <c r="K67" s="66"/>
      <c r="L67" s="73"/>
      <c r="M67" s="73"/>
      <c r="N67" s="73"/>
      <c r="O67" s="73"/>
      <c r="P67" s="74"/>
      <c r="Q67" s="68"/>
    </row>
    <row r="68" spans="2:16384" ht="38.25">
      <c r="B68" s="59" t="s">
        <v>98</v>
      </c>
      <c r="C68" s="59" t="s">
        <v>124</v>
      </c>
      <c r="D68" s="349" t="s">
        <v>143</v>
      </c>
      <c r="E68" s="59" t="s">
        <v>101</v>
      </c>
      <c r="F68" s="59" t="s">
        <v>77</v>
      </c>
      <c r="G68" s="59" t="s">
        <v>78</v>
      </c>
      <c r="H68" s="59" t="s">
        <v>79</v>
      </c>
      <c r="I68" s="59" t="s">
        <v>80</v>
      </c>
      <c r="J68" s="59" t="s">
        <v>81</v>
      </c>
      <c r="K68" s="59" t="s">
        <v>64</v>
      </c>
      <c r="L68" s="59" t="s">
        <v>77</v>
      </c>
      <c r="M68" s="59" t="s">
        <v>78</v>
      </c>
      <c r="N68" s="59" t="s">
        <v>79</v>
      </c>
      <c r="O68" s="59" t="s">
        <v>80</v>
      </c>
      <c r="P68" s="59" t="s">
        <v>81</v>
      </c>
      <c r="Q68" s="59" t="s">
        <v>64</v>
      </c>
      <c r="T68" s="56"/>
      <c r="U68" s="57"/>
      <c r="V68" s="57"/>
      <c r="W68" s="57"/>
      <c r="X68" s="57"/>
      <c r="Y68" s="57"/>
      <c r="Z68" s="57"/>
      <c r="AA68" s="59" t="s">
        <v>77</v>
      </c>
      <c r="AB68" s="59" t="s">
        <v>78</v>
      </c>
      <c r="AC68" s="59" t="s">
        <v>79</v>
      </c>
      <c r="AD68" s="59" t="s">
        <v>80</v>
      </c>
      <c r="AE68" s="59" t="s">
        <v>81</v>
      </c>
      <c r="AF68" s="59" t="s">
        <v>64</v>
      </c>
      <c r="AG68" s="59" t="s">
        <v>98</v>
      </c>
      <c r="AH68" s="59" t="s">
        <v>124</v>
      </c>
      <c r="AI68" s="59" t="s">
        <v>101</v>
      </c>
      <c r="AJ68" s="56"/>
      <c r="AK68" s="57"/>
      <c r="AL68" s="57"/>
      <c r="AM68" s="57"/>
      <c r="AN68" s="57"/>
      <c r="AO68" s="57"/>
      <c r="AP68" s="57"/>
      <c r="AQ68" s="59" t="s">
        <v>77</v>
      </c>
      <c r="AR68" s="59" t="s">
        <v>78</v>
      </c>
      <c r="AS68" s="59" t="s">
        <v>79</v>
      </c>
      <c r="AT68" s="59" t="s">
        <v>80</v>
      </c>
      <c r="AU68" s="59" t="s">
        <v>81</v>
      </c>
      <c r="AV68" s="59" t="s">
        <v>64</v>
      </c>
      <c r="AW68" s="59" t="s">
        <v>98</v>
      </c>
      <c r="AX68" s="59" t="s">
        <v>124</v>
      </c>
      <c r="AY68" s="59" t="s">
        <v>101</v>
      </c>
      <c r="AZ68" s="56"/>
      <c r="BA68" s="57"/>
      <c r="BB68" s="57"/>
      <c r="BC68" s="57"/>
      <c r="BD68" s="57"/>
      <c r="BE68" s="57"/>
      <c r="BF68" s="57"/>
      <c r="BG68" s="59" t="s">
        <v>77</v>
      </c>
      <c r="BH68" s="59" t="s">
        <v>78</v>
      </c>
      <c r="BI68" s="59" t="s">
        <v>79</v>
      </c>
      <c r="BJ68" s="59" t="s">
        <v>80</v>
      </c>
      <c r="BK68" s="59" t="s">
        <v>81</v>
      </c>
      <c r="BL68" s="59" t="s">
        <v>64</v>
      </c>
      <c r="BM68" s="59" t="s">
        <v>98</v>
      </c>
      <c r="BN68" s="59" t="s">
        <v>124</v>
      </c>
      <c r="BO68" s="59" t="s">
        <v>101</v>
      </c>
      <c r="BP68" s="56"/>
      <c r="BQ68" s="57"/>
      <c r="BR68" s="57"/>
      <c r="BS68" s="57"/>
      <c r="BT68" s="57"/>
      <c r="BU68" s="57"/>
      <c r="BV68" s="57"/>
      <c r="BW68" s="59" t="s">
        <v>77</v>
      </c>
      <c r="BX68" s="59" t="s">
        <v>78</v>
      </c>
      <c r="BY68" s="59" t="s">
        <v>79</v>
      </c>
      <c r="BZ68" s="59" t="s">
        <v>80</v>
      </c>
      <c r="CA68" s="59" t="s">
        <v>81</v>
      </c>
      <c r="CB68" s="59" t="s">
        <v>64</v>
      </c>
      <c r="CC68" s="59" t="s">
        <v>98</v>
      </c>
      <c r="CD68" s="59" t="s">
        <v>124</v>
      </c>
      <c r="CE68" s="59" t="s">
        <v>101</v>
      </c>
      <c r="CF68" s="56"/>
      <c r="CG68" s="57"/>
      <c r="CH68" s="57"/>
      <c r="CI68" s="57"/>
      <c r="CJ68" s="57"/>
      <c r="CK68" s="57"/>
      <c r="CL68" s="57"/>
      <c r="CM68" s="59" t="s">
        <v>77</v>
      </c>
      <c r="CN68" s="59" t="s">
        <v>78</v>
      </c>
      <c r="CO68" s="59" t="s">
        <v>79</v>
      </c>
      <c r="CP68" s="59" t="s">
        <v>80</v>
      </c>
      <c r="CQ68" s="59" t="s">
        <v>81</v>
      </c>
      <c r="CR68" s="59" t="s">
        <v>64</v>
      </c>
      <c r="CS68" s="59" t="s">
        <v>98</v>
      </c>
      <c r="CT68" s="59" t="s">
        <v>124</v>
      </c>
      <c r="CU68" s="59" t="s">
        <v>101</v>
      </c>
      <c r="CV68" s="56"/>
      <c r="CW68" s="57"/>
      <c r="CX68" s="57"/>
      <c r="CY68" s="57"/>
      <c r="CZ68" s="57"/>
      <c r="DA68" s="57"/>
      <c r="DB68" s="57"/>
      <c r="DC68" s="59" t="s">
        <v>77</v>
      </c>
      <c r="DD68" s="59" t="s">
        <v>78</v>
      </c>
      <c r="DE68" s="59" t="s">
        <v>79</v>
      </c>
      <c r="DF68" s="59" t="s">
        <v>80</v>
      </c>
      <c r="DG68" s="59" t="s">
        <v>81</v>
      </c>
      <c r="DH68" s="59" t="s">
        <v>64</v>
      </c>
      <c r="DI68" s="59" t="s">
        <v>98</v>
      </c>
      <c r="DJ68" s="59" t="s">
        <v>124</v>
      </c>
      <c r="DK68" s="59" t="s">
        <v>101</v>
      </c>
      <c r="DL68" s="56"/>
      <c r="DM68" s="57"/>
      <c r="DN68" s="57"/>
      <c r="DO68" s="57"/>
      <c r="DP68" s="57"/>
      <c r="DQ68" s="57"/>
      <c r="DR68" s="57"/>
      <c r="DS68" s="59" t="s">
        <v>77</v>
      </c>
      <c r="DT68" s="59" t="s">
        <v>78</v>
      </c>
      <c r="DU68" s="59" t="s">
        <v>79</v>
      </c>
      <c r="DV68" s="59" t="s">
        <v>80</v>
      </c>
      <c r="DW68" s="59" t="s">
        <v>81</v>
      </c>
      <c r="DX68" s="59" t="s">
        <v>64</v>
      </c>
      <c r="DY68" s="59" t="s">
        <v>98</v>
      </c>
      <c r="DZ68" s="59" t="s">
        <v>124</v>
      </c>
      <c r="EA68" s="59" t="s">
        <v>101</v>
      </c>
      <c r="EB68" s="56"/>
      <c r="EC68" s="57"/>
      <c r="ED68" s="57"/>
      <c r="EE68" s="57"/>
      <c r="EF68" s="57"/>
      <c r="EG68" s="57"/>
      <c r="EH68" s="57"/>
      <c r="EI68" s="59" t="s">
        <v>77</v>
      </c>
      <c r="EJ68" s="59" t="s">
        <v>78</v>
      </c>
      <c r="EK68" s="59" t="s">
        <v>79</v>
      </c>
      <c r="EL68" s="59" t="s">
        <v>80</v>
      </c>
      <c r="EM68" s="59" t="s">
        <v>81</v>
      </c>
      <c r="EN68" s="59" t="s">
        <v>64</v>
      </c>
      <c r="EO68" s="59" t="s">
        <v>98</v>
      </c>
      <c r="EP68" s="59" t="s">
        <v>124</v>
      </c>
      <c r="EQ68" s="59" t="s">
        <v>101</v>
      </c>
      <c r="ER68" s="56"/>
      <c r="ES68" s="57"/>
      <c r="ET68" s="57"/>
      <c r="EU68" s="57"/>
      <c r="EV68" s="57"/>
      <c r="EW68" s="57"/>
      <c r="EX68" s="57"/>
      <c r="EY68" s="59" t="s">
        <v>77</v>
      </c>
      <c r="EZ68" s="59" t="s">
        <v>78</v>
      </c>
      <c r="FA68" s="59" t="s">
        <v>79</v>
      </c>
      <c r="FB68" s="59" t="s">
        <v>80</v>
      </c>
      <c r="FC68" s="59" t="s">
        <v>81</v>
      </c>
      <c r="FD68" s="59" t="s">
        <v>64</v>
      </c>
      <c r="FE68" s="59" t="s">
        <v>98</v>
      </c>
      <c r="FF68" s="59" t="s">
        <v>124</v>
      </c>
      <c r="FG68" s="59" t="s">
        <v>101</v>
      </c>
      <c r="FH68" s="56"/>
      <c r="FI68" s="57"/>
      <c r="FJ68" s="57"/>
      <c r="FK68" s="57"/>
      <c r="FL68" s="57"/>
      <c r="FM68" s="57"/>
      <c r="FN68" s="57"/>
      <c r="FO68" s="59" t="s">
        <v>77</v>
      </c>
      <c r="FP68" s="59" t="s">
        <v>78</v>
      </c>
      <c r="FQ68" s="59" t="s">
        <v>79</v>
      </c>
      <c r="FR68" s="59" t="s">
        <v>80</v>
      </c>
      <c r="FS68" s="59" t="s">
        <v>81</v>
      </c>
      <c r="FT68" s="59" t="s">
        <v>64</v>
      </c>
      <c r="FU68" s="59" t="s">
        <v>98</v>
      </c>
      <c r="FV68" s="59" t="s">
        <v>124</v>
      </c>
      <c r="FW68" s="59" t="s">
        <v>101</v>
      </c>
      <c r="FX68" s="56"/>
      <c r="FY68" s="57"/>
      <c r="FZ68" s="57"/>
      <c r="GA68" s="57"/>
      <c r="GB68" s="57"/>
      <c r="GC68" s="57"/>
      <c r="GD68" s="57"/>
      <c r="GE68" s="59" t="s">
        <v>77</v>
      </c>
      <c r="GF68" s="59" t="s">
        <v>78</v>
      </c>
      <c r="GG68" s="59" t="s">
        <v>79</v>
      </c>
      <c r="GH68" s="59" t="s">
        <v>80</v>
      </c>
      <c r="GI68" s="59" t="s">
        <v>81</v>
      </c>
      <c r="GJ68" s="59" t="s">
        <v>64</v>
      </c>
      <c r="GK68" s="59" t="s">
        <v>98</v>
      </c>
      <c r="GL68" s="59" t="s">
        <v>124</v>
      </c>
      <c r="GM68" s="59" t="s">
        <v>101</v>
      </c>
      <c r="GN68" s="56"/>
      <c r="GO68" s="57"/>
      <c r="GP68" s="57"/>
      <c r="GQ68" s="57"/>
      <c r="GR68" s="57"/>
      <c r="GS68" s="57"/>
      <c r="GT68" s="57"/>
      <c r="GU68" s="59" t="s">
        <v>77</v>
      </c>
      <c r="GV68" s="59" t="s">
        <v>78</v>
      </c>
      <c r="GW68" s="59" t="s">
        <v>79</v>
      </c>
      <c r="GX68" s="59" t="s">
        <v>80</v>
      </c>
      <c r="GY68" s="59" t="s">
        <v>81</v>
      </c>
      <c r="GZ68" s="59" t="s">
        <v>64</v>
      </c>
      <c r="HA68" s="59" t="s">
        <v>98</v>
      </c>
      <c r="HB68" s="59" t="s">
        <v>124</v>
      </c>
      <c r="HC68" s="59" t="s">
        <v>101</v>
      </c>
      <c r="HD68" s="56"/>
      <c r="HE68" s="57"/>
      <c r="HF68" s="57"/>
      <c r="HG68" s="57"/>
      <c r="HH68" s="57"/>
      <c r="HI68" s="57"/>
      <c r="HJ68" s="57"/>
      <c r="HK68" s="59" t="s">
        <v>77</v>
      </c>
      <c r="HL68" s="59" t="s">
        <v>78</v>
      </c>
      <c r="HM68" s="59" t="s">
        <v>79</v>
      </c>
      <c r="HN68" s="59" t="s">
        <v>80</v>
      </c>
      <c r="HO68" s="59" t="s">
        <v>81</v>
      </c>
      <c r="HP68" s="59" t="s">
        <v>64</v>
      </c>
      <c r="HQ68" s="59" t="s">
        <v>98</v>
      </c>
      <c r="HR68" s="59" t="s">
        <v>124</v>
      </c>
      <c r="HS68" s="59" t="s">
        <v>101</v>
      </c>
      <c r="HT68" s="56"/>
      <c r="HU68" s="57"/>
      <c r="HV68" s="57"/>
      <c r="HW68" s="57"/>
      <c r="HX68" s="57"/>
      <c r="HY68" s="57"/>
      <c r="HZ68" s="57"/>
      <c r="IA68" s="59" t="s">
        <v>77</v>
      </c>
      <c r="IB68" s="59" t="s">
        <v>78</v>
      </c>
      <c r="IC68" s="59" t="s">
        <v>79</v>
      </c>
      <c r="ID68" s="59" t="s">
        <v>80</v>
      </c>
      <c r="IE68" s="59" t="s">
        <v>81</v>
      </c>
      <c r="IF68" s="59" t="s">
        <v>64</v>
      </c>
      <c r="IG68" s="59" t="s">
        <v>98</v>
      </c>
      <c r="IH68" s="59" t="s">
        <v>124</v>
      </c>
      <c r="II68" s="59" t="s">
        <v>101</v>
      </c>
      <c r="IJ68" s="56"/>
      <c r="IK68" s="57"/>
      <c r="IL68" s="57"/>
      <c r="IM68" s="57"/>
      <c r="IN68" s="57"/>
      <c r="IO68" s="57"/>
      <c r="IP68" s="57"/>
      <c r="IQ68" s="59" t="s">
        <v>77</v>
      </c>
      <c r="IR68" s="59" t="s">
        <v>78</v>
      </c>
      <c r="IS68" s="59" t="s">
        <v>79</v>
      </c>
      <c r="IT68" s="59" t="s">
        <v>80</v>
      </c>
      <c r="IU68" s="59" t="s">
        <v>81</v>
      </c>
      <c r="IV68" s="59" t="s">
        <v>64</v>
      </c>
      <c r="IW68" s="59" t="s">
        <v>98</v>
      </c>
      <c r="IX68" s="59" t="s">
        <v>124</v>
      </c>
      <c r="IY68" s="59" t="s">
        <v>101</v>
      </c>
      <c r="IZ68" s="56"/>
      <c r="JA68" s="57"/>
      <c r="JB68" s="57"/>
      <c r="JC68" s="57"/>
      <c r="JD68" s="57"/>
      <c r="JE68" s="57"/>
      <c r="JF68" s="57"/>
      <c r="JG68" s="59" t="s">
        <v>77</v>
      </c>
      <c r="JH68" s="59" t="s">
        <v>78</v>
      </c>
      <c r="JI68" s="59" t="s">
        <v>79</v>
      </c>
      <c r="JJ68" s="59" t="s">
        <v>80</v>
      </c>
      <c r="JK68" s="59" t="s">
        <v>81</v>
      </c>
      <c r="JL68" s="59" t="s">
        <v>64</v>
      </c>
      <c r="JM68" s="59" t="s">
        <v>98</v>
      </c>
      <c r="JN68" s="59" t="s">
        <v>124</v>
      </c>
      <c r="JO68" s="59" t="s">
        <v>101</v>
      </c>
      <c r="JP68" s="56"/>
      <c r="JQ68" s="57"/>
      <c r="JR68" s="57"/>
      <c r="JS68" s="57"/>
      <c r="JT68" s="57"/>
      <c r="JU68" s="57"/>
      <c r="JV68" s="57"/>
      <c r="JW68" s="59" t="s">
        <v>77</v>
      </c>
      <c r="JX68" s="59" t="s">
        <v>78</v>
      </c>
      <c r="JY68" s="59" t="s">
        <v>79</v>
      </c>
      <c r="JZ68" s="59" t="s">
        <v>80</v>
      </c>
      <c r="KA68" s="59" t="s">
        <v>81</v>
      </c>
      <c r="KB68" s="59" t="s">
        <v>64</v>
      </c>
      <c r="KC68" s="59" t="s">
        <v>98</v>
      </c>
      <c r="KD68" s="59" t="s">
        <v>124</v>
      </c>
      <c r="KE68" s="59" t="s">
        <v>101</v>
      </c>
      <c r="KF68" s="56"/>
      <c r="KG68" s="57"/>
      <c r="KH68" s="57"/>
      <c r="KI68" s="57"/>
      <c r="KJ68" s="57"/>
      <c r="KK68" s="57"/>
      <c r="KL68" s="57"/>
      <c r="KM68" s="59" t="s">
        <v>77</v>
      </c>
      <c r="KN68" s="59" t="s">
        <v>78</v>
      </c>
      <c r="KO68" s="59" t="s">
        <v>79</v>
      </c>
      <c r="KP68" s="59" t="s">
        <v>80</v>
      </c>
      <c r="KQ68" s="59" t="s">
        <v>81</v>
      </c>
      <c r="KR68" s="59" t="s">
        <v>64</v>
      </c>
      <c r="KS68" s="59" t="s">
        <v>98</v>
      </c>
      <c r="KT68" s="59" t="s">
        <v>124</v>
      </c>
      <c r="KU68" s="59" t="s">
        <v>101</v>
      </c>
      <c r="KV68" s="56"/>
      <c r="KW68" s="57"/>
      <c r="KX68" s="57"/>
      <c r="KY68" s="57"/>
      <c r="KZ68" s="57"/>
      <c r="LA68" s="57"/>
      <c r="LB68" s="57"/>
      <c r="LC68" s="59" t="s">
        <v>77</v>
      </c>
      <c r="LD68" s="59" t="s">
        <v>78</v>
      </c>
      <c r="LE68" s="59" t="s">
        <v>79</v>
      </c>
      <c r="LF68" s="59" t="s">
        <v>80</v>
      </c>
      <c r="LG68" s="59" t="s">
        <v>81</v>
      </c>
      <c r="LH68" s="59" t="s">
        <v>64</v>
      </c>
      <c r="LI68" s="59" t="s">
        <v>98</v>
      </c>
      <c r="LJ68" s="59" t="s">
        <v>124</v>
      </c>
      <c r="LK68" s="59" t="s">
        <v>101</v>
      </c>
      <c r="LL68" s="56"/>
      <c r="LM68" s="57"/>
      <c r="LN68" s="57"/>
      <c r="LO68" s="57"/>
      <c r="LP68" s="57"/>
      <c r="LQ68" s="57"/>
      <c r="LR68" s="57"/>
      <c r="LS68" s="59" t="s">
        <v>77</v>
      </c>
      <c r="LT68" s="59" t="s">
        <v>78</v>
      </c>
      <c r="LU68" s="59" t="s">
        <v>79</v>
      </c>
      <c r="LV68" s="59" t="s">
        <v>80</v>
      </c>
      <c r="LW68" s="59" t="s">
        <v>81</v>
      </c>
      <c r="LX68" s="59" t="s">
        <v>64</v>
      </c>
      <c r="LY68" s="59" t="s">
        <v>98</v>
      </c>
      <c r="LZ68" s="59" t="s">
        <v>124</v>
      </c>
      <c r="MA68" s="59" t="s">
        <v>101</v>
      </c>
      <c r="MB68" s="56"/>
      <c r="MC68" s="57"/>
      <c r="MD68" s="57"/>
      <c r="ME68" s="57"/>
      <c r="MF68" s="57"/>
      <c r="MG68" s="57"/>
      <c r="MH68" s="57"/>
      <c r="MI68" s="59" t="s">
        <v>77</v>
      </c>
      <c r="MJ68" s="59" t="s">
        <v>78</v>
      </c>
      <c r="MK68" s="59" t="s">
        <v>79</v>
      </c>
      <c r="ML68" s="59" t="s">
        <v>80</v>
      </c>
      <c r="MM68" s="59" t="s">
        <v>81</v>
      </c>
      <c r="MN68" s="59" t="s">
        <v>64</v>
      </c>
      <c r="MO68" s="59" t="s">
        <v>98</v>
      </c>
      <c r="MP68" s="59" t="s">
        <v>124</v>
      </c>
      <c r="MQ68" s="59" t="s">
        <v>101</v>
      </c>
      <c r="MR68" s="56"/>
      <c r="MS68" s="57"/>
      <c r="MT68" s="57"/>
      <c r="MU68" s="57"/>
      <c r="MV68" s="57"/>
      <c r="MW68" s="57"/>
      <c r="MX68" s="57"/>
      <c r="MY68" s="59" t="s">
        <v>77</v>
      </c>
      <c r="MZ68" s="59" t="s">
        <v>78</v>
      </c>
      <c r="NA68" s="59" t="s">
        <v>79</v>
      </c>
      <c r="NB68" s="59" t="s">
        <v>80</v>
      </c>
      <c r="NC68" s="59" t="s">
        <v>81</v>
      </c>
      <c r="ND68" s="59" t="s">
        <v>64</v>
      </c>
      <c r="NE68" s="59" t="s">
        <v>98</v>
      </c>
      <c r="NF68" s="59" t="s">
        <v>124</v>
      </c>
      <c r="NG68" s="59" t="s">
        <v>101</v>
      </c>
      <c r="NH68" s="56"/>
      <c r="NI68" s="57"/>
      <c r="NJ68" s="57"/>
      <c r="NK68" s="57"/>
      <c r="NL68" s="57"/>
      <c r="NM68" s="57"/>
      <c r="NN68" s="57"/>
      <c r="NO68" s="59" t="s">
        <v>77</v>
      </c>
      <c r="NP68" s="59" t="s">
        <v>78</v>
      </c>
      <c r="NQ68" s="59" t="s">
        <v>79</v>
      </c>
      <c r="NR68" s="59" t="s">
        <v>80</v>
      </c>
      <c r="NS68" s="59" t="s">
        <v>81</v>
      </c>
      <c r="NT68" s="59" t="s">
        <v>64</v>
      </c>
      <c r="NU68" s="59" t="s">
        <v>98</v>
      </c>
      <c r="NV68" s="59" t="s">
        <v>124</v>
      </c>
      <c r="NW68" s="59" t="s">
        <v>101</v>
      </c>
      <c r="NX68" s="56"/>
      <c r="NY68" s="57"/>
      <c r="NZ68" s="57"/>
      <c r="OA68" s="57"/>
      <c r="OB68" s="57"/>
      <c r="OC68" s="57"/>
      <c r="OD68" s="57"/>
      <c r="OE68" s="59" t="s">
        <v>77</v>
      </c>
      <c r="OF68" s="59" t="s">
        <v>78</v>
      </c>
      <c r="OG68" s="59" t="s">
        <v>79</v>
      </c>
      <c r="OH68" s="59" t="s">
        <v>80</v>
      </c>
      <c r="OI68" s="59" t="s">
        <v>81</v>
      </c>
      <c r="OJ68" s="59" t="s">
        <v>64</v>
      </c>
      <c r="OK68" s="59" t="s">
        <v>98</v>
      </c>
      <c r="OL68" s="59" t="s">
        <v>124</v>
      </c>
      <c r="OM68" s="59" t="s">
        <v>101</v>
      </c>
      <c r="ON68" s="56"/>
      <c r="OO68" s="57"/>
      <c r="OP68" s="57"/>
      <c r="OQ68" s="57"/>
      <c r="OR68" s="57"/>
      <c r="OS68" s="57"/>
      <c r="OT68" s="57"/>
      <c r="OU68" s="59" t="s">
        <v>77</v>
      </c>
      <c r="OV68" s="59" t="s">
        <v>78</v>
      </c>
      <c r="OW68" s="59" t="s">
        <v>79</v>
      </c>
      <c r="OX68" s="59" t="s">
        <v>80</v>
      </c>
      <c r="OY68" s="59" t="s">
        <v>81</v>
      </c>
      <c r="OZ68" s="59" t="s">
        <v>64</v>
      </c>
      <c r="PA68" s="59" t="s">
        <v>98</v>
      </c>
      <c r="PB68" s="59" t="s">
        <v>124</v>
      </c>
      <c r="PC68" s="59" t="s">
        <v>101</v>
      </c>
      <c r="PD68" s="56"/>
      <c r="PE68" s="57"/>
      <c r="PF68" s="57"/>
      <c r="PG68" s="57"/>
      <c r="PH68" s="57"/>
      <c r="PI68" s="57"/>
      <c r="PJ68" s="57"/>
      <c r="PK68" s="59" t="s">
        <v>77</v>
      </c>
      <c r="PL68" s="59" t="s">
        <v>78</v>
      </c>
      <c r="PM68" s="59" t="s">
        <v>79</v>
      </c>
      <c r="PN68" s="59" t="s">
        <v>80</v>
      </c>
      <c r="PO68" s="59" t="s">
        <v>81</v>
      </c>
      <c r="PP68" s="59" t="s">
        <v>64</v>
      </c>
      <c r="PQ68" s="59" t="s">
        <v>98</v>
      </c>
      <c r="PR68" s="59" t="s">
        <v>124</v>
      </c>
      <c r="PS68" s="59" t="s">
        <v>101</v>
      </c>
      <c r="PT68" s="56"/>
      <c r="PU68" s="57"/>
      <c r="PV68" s="57"/>
      <c r="PW68" s="57"/>
      <c r="PX68" s="57"/>
      <c r="PY68" s="57"/>
      <c r="PZ68" s="57"/>
      <c r="QA68" s="59" t="s">
        <v>77</v>
      </c>
      <c r="QB68" s="59" t="s">
        <v>78</v>
      </c>
      <c r="QC68" s="59" t="s">
        <v>79</v>
      </c>
      <c r="QD68" s="59" t="s">
        <v>80</v>
      </c>
      <c r="QE68" s="59" t="s">
        <v>81</v>
      </c>
      <c r="QF68" s="59" t="s">
        <v>64</v>
      </c>
      <c r="QG68" s="59" t="s">
        <v>98</v>
      </c>
      <c r="QH68" s="59" t="s">
        <v>124</v>
      </c>
      <c r="QI68" s="59" t="s">
        <v>101</v>
      </c>
      <c r="QJ68" s="56"/>
      <c r="QK68" s="57"/>
      <c r="QL68" s="57"/>
      <c r="QM68" s="57"/>
      <c r="QN68" s="57"/>
      <c r="QO68" s="57"/>
      <c r="QP68" s="57"/>
      <c r="QQ68" s="59" t="s">
        <v>77</v>
      </c>
      <c r="QR68" s="59" t="s">
        <v>78</v>
      </c>
      <c r="QS68" s="59" t="s">
        <v>79</v>
      </c>
      <c r="QT68" s="59" t="s">
        <v>80</v>
      </c>
      <c r="QU68" s="59" t="s">
        <v>81</v>
      </c>
      <c r="QV68" s="59" t="s">
        <v>64</v>
      </c>
      <c r="QW68" s="59" t="s">
        <v>98</v>
      </c>
      <c r="QX68" s="59" t="s">
        <v>124</v>
      </c>
      <c r="QY68" s="59" t="s">
        <v>101</v>
      </c>
      <c r="QZ68" s="56"/>
      <c r="RA68" s="57"/>
      <c r="RB68" s="57"/>
      <c r="RC68" s="57"/>
      <c r="RD68" s="57"/>
      <c r="RE68" s="57"/>
      <c r="RF68" s="57"/>
      <c r="RG68" s="59" t="s">
        <v>77</v>
      </c>
      <c r="RH68" s="59" t="s">
        <v>78</v>
      </c>
      <c r="RI68" s="59" t="s">
        <v>79</v>
      </c>
      <c r="RJ68" s="59" t="s">
        <v>80</v>
      </c>
      <c r="RK68" s="59" t="s">
        <v>81</v>
      </c>
      <c r="RL68" s="59" t="s">
        <v>64</v>
      </c>
      <c r="RM68" s="59" t="s">
        <v>98</v>
      </c>
      <c r="RN68" s="59" t="s">
        <v>124</v>
      </c>
      <c r="RO68" s="59" t="s">
        <v>101</v>
      </c>
      <c r="RP68" s="56"/>
      <c r="RQ68" s="57"/>
      <c r="RR68" s="57"/>
      <c r="RS68" s="57"/>
      <c r="RT68" s="57"/>
      <c r="RU68" s="57"/>
      <c r="RV68" s="57"/>
      <c r="RW68" s="59" t="s">
        <v>77</v>
      </c>
      <c r="RX68" s="59" t="s">
        <v>78</v>
      </c>
      <c r="RY68" s="59" t="s">
        <v>79</v>
      </c>
      <c r="RZ68" s="59" t="s">
        <v>80</v>
      </c>
      <c r="SA68" s="59" t="s">
        <v>81</v>
      </c>
      <c r="SB68" s="59" t="s">
        <v>64</v>
      </c>
      <c r="SC68" s="59" t="s">
        <v>98</v>
      </c>
      <c r="SD68" s="59" t="s">
        <v>124</v>
      </c>
      <c r="SE68" s="59" t="s">
        <v>101</v>
      </c>
      <c r="SF68" s="56"/>
      <c r="SG68" s="57"/>
      <c r="SH68" s="57"/>
      <c r="SI68" s="57"/>
      <c r="SJ68" s="57"/>
      <c r="SK68" s="57"/>
      <c r="SL68" s="57"/>
      <c r="SM68" s="59" t="s">
        <v>77</v>
      </c>
      <c r="SN68" s="59" t="s">
        <v>78</v>
      </c>
      <c r="SO68" s="59" t="s">
        <v>79</v>
      </c>
      <c r="SP68" s="59" t="s">
        <v>80</v>
      </c>
      <c r="SQ68" s="59" t="s">
        <v>81</v>
      </c>
      <c r="SR68" s="59" t="s">
        <v>64</v>
      </c>
      <c r="SS68" s="59" t="s">
        <v>98</v>
      </c>
      <c r="ST68" s="59" t="s">
        <v>124</v>
      </c>
      <c r="SU68" s="59" t="s">
        <v>101</v>
      </c>
      <c r="SV68" s="56"/>
      <c r="SW68" s="57"/>
      <c r="SX68" s="57"/>
      <c r="SY68" s="57"/>
      <c r="SZ68" s="57"/>
      <c r="TA68" s="57"/>
      <c r="TB68" s="57"/>
      <c r="TC68" s="59" t="s">
        <v>77</v>
      </c>
      <c r="TD68" s="59" t="s">
        <v>78</v>
      </c>
      <c r="TE68" s="59" t="s">
        <v>79</v>
      </c>
      <c r="TF68" s="59" t="s">
        <v>80</v>
      </c>
      <c r="TG68" s="59" t="s">
        <v>81</v>
      </c>
      <c r="TH68" s="59" t="s">
        <v>64</v>
      </c>
      <c r="TI68" s="59" t="s">
        <v>98</v>
      </c>
      <c r="TJ68" s="59" t="s">
        <v>124</v>
      </c>
      <c r="TK68" s="59" t="s">
        <v>101</v>
      </c>
      <c r="TL68" s="56"/>
      <c r="TM68" s="57"/>
      <c r="TN68" s="57"/>
      <c r="TO68" s="57"/>
      <c r="TP68" s="57"/>
      <c r="TQ68" s="57"/>
      <c r="TR68" s="57"/>
      <c r="TS68" s="59" t="s">
        <v>77</v>
      </c>
      <c r="TT68" s="59" t="s">
        <v>78</v>
      </c>
      <c r="TU68" s="59" t="s">
        <v>79</v>
      </c>
      <c r="TV68" s="59" t="s">
        <v>80</v>
      </c>
      <c r="TW68" s="59" t="s">
        <v>81</v>
      </c>
      <c r="TX68" s="59" t="s">
        <v>64</v>
      </c>
      <c r="TY68" s="59" t="s">
        <v>98</v>
      </c>
      <c r="TZ68" s="59" t="s">
        <v>124</v>
      </c>
      <c r="UA68" s="59" t="s">
        <v>101</v>
      </c>
      <c r="UB68" s="56"/>
      <c r="UC68" s="57"/>
      <c r="UD68" s="57"/>
      <c r="UE68" s="57"/>
      <c r="UF68" s="57"/>
      <c r="UG68" s="57"/>
      <c r="UH68" s="57"/>
      <c r="UI68" s="59" t="s">
        <v>77</v>
      </c>
      <c r="UJ68" s="59" t="s">
        <v>78</v>
      </c>
      <c r="UK68" s="59" t="s">
        <v>79</v>
      </c>
      <c r="UL68" s="59" t="s">
        <v>80</v>
      </c>
      <c r="UM68" s="59" t="s">
        <v>81</v>
      </c>
      <c r="UN68" s="59" t="s">
        <v>64</v>
      </c>
      <c r="UO68" s="59" t="s">
        <v>98</v>
      </c>
      <c r="UP68" s="59" t="s">
        <v>124</v>
      </c>
      <c r="UQ68" s="59" t="s">
        <v>101</v>
      </c>
      <c r="UR68" s="56"/>
      <c r="US68" s="57"/>
      <c r="UT68" s="57"/>
      <c r="UU68" s="57"/>
      <c r="UV68" s="57"/>
      <c r="UW68" s="57"/>
      <c r="UX68" s="57"/>
      <c r="UY68" s="59" t="s">
        <v>77</v>
      </c>
      <c r="UZ68" s="59" t="s">
        <v>78</v>
      </c>
      <c r="VA68" s="59" t="s">
        <v>79</v>
      </c>
      <c r="VB68" s="59" t="s">
        <v>80</v>
      </c>
      <c r="VC68" s="59" t="s">
        <v>81</v>
      </c>
      <c r="VD68" s="59" t="s">
        <v>64</v>
      </c>
      <c r="VE68" s="59" t="s">
        <v>98</v>
      </c>
      <c r="VF68" s="59" t="s">
        <v>124</v>
      </c>
      <c r="VG68" s="59" t="s">
        <v>101</v>
      </c>
      <c r="VH68" s="56"/>
      <c r="VI68" s="57"/>
      <c r="VJ68" s="57"/>
      <c r="VK68" s="57"/>
      <c r="VL68" s="57"/>
      <c r="VM68" s="57"/>
      <c r="VN68" s="57"/>
      <c r="VO68" s="59" t="s">
        <v>77</v>
      </c>
      <c r="VP68" s="59" t="s">
        <v>78</v>
      </c>
      <c r="VQ68" s="59" t="s">
        <v>79</v>
      </c>
      <c r="VR68" s="59" t="s">
        <v>80</v>
      </c>
      <c r="VS68" s="59" t="s">
        <v>81</v>
      </c>
      <c r="VT68" s="59" t="s">
        <v>64</v>
      </c>
      <c r="VU68" s="59" t="s">
        <v>98</v>
      </c>
      <c r="VV68" s="59" t="s">
        <v>124</v>
      </c>
      <c r="VW68" s="59" t="s">
        <v>101</v>
      </c>
      <c r="VX68" s="56"/>
      <c r="VY68" s="57"/>
      <c r="VZ68" s="57"/>
      <c r="WA68" s="57"/>
      <c r="WB68" s="57"/>
      <c r="WC68" s="57"/>
      <c r="WD68" s="57"/>
      <c r="WE68" s="59" t="s">
        <v>77</v>
      </c>
      <c r="WF68" s="59" t="s">
        <v>78</v>
      </c>
      <c r="WG68" s="59" t="s">
        <v>79</v>
      </c>
      <c r="WH68" s="59" t="s">
        <v>80</v>
      </c>
      <c r="WI68" s="59" t="s">
        <v>81</v>
      </c>
      <c r="WJ68" s="59" t="s">
        <v>64</v>
      </c>
      <c r="WK68" s="59" t="s">
        <v>98</v>
      </c>
      <c r="WL68" s="59" t="s">
        <v>124</v>
      </c>
      <c r="WM68" s="59" t="s">
        <v>101</v>
      </c>
      <c r="WN68" s="56"/>
      <c r="WO68" s="57"/>
      <c r="WP68" s="57"/>
      <c r="WQ68" s="57"/>
      <c r="WR68" s="57"/>
      <c r="WS68" s="57"/>
      <c r="WT68" s="57"/>
      <c r="WU68" s="59" t="s">
        <v>77</v>
      </c>
      <c r="WV68" s="59" t="s">
        <v>78</v>
      </c>
      <c r="WW68" s="59" t="s">
        <v>79</v>
      </c>
      <c r="WX68" s="59" t="s">
        <v>80</v>
      </c>
      <c r="WY68" s="59" t="s">
        <v>81</v>
      </c>
      <c r="WZ68" s="59" t="s">
        <v>64</v>
      </c>
      <c r="XA68" s="59" t="s">
        <v>98</v>
      </c>
      <c r="XB68" s="59" t="s">
        <v>124</v>
      </c>
      <c r="XC68" s="59" t="s">
        <v>101</v>
      </c>
      <c r="XD68" s="56"/>
      <c r="XE68" s="57"/>
      <c r="XF68" s="57"/>
      <c r="XG68" s="57"/>
      <c r="XH68" s="57"/>
      <c r="XI68" s="57"/>
      <c r="XJ68" s="57"/>
      <c r="XK68" s="59" t="s">
        <v>77</v>
      </c>
      <c r="XL68" s="59" t="s">
        <v>78</v>
      </c>
      <c r="XM68" s="59" t="s">
        <v>79</v>
      </c>
      <c r="XN68" s="59" t="s">
        <v>80</v>
      </c>
      <c r="XO68" s="59" t="s">
        <v>81</v>
      </c>
      <c r="XP68" s="59" t="s">
        <v>64</v>
      </c>
      <c r="XQ68" s="59" t="s">
        <v>98</v>
      </c>
      <c r="XR68" s="59" t="s">
        <v>124</v>
      </c>
      <c r="XS68" s="59" t="s">
        <v>101</v>
      </c>
      <c r="XT68" s="56"/>
      <c r="XU68" s="57"/>
      <c r="XV68" s="57"/>
      <c r="XW68" s="57"/>
      <c r="XX68" s="57"/>
      <c r="XY68" s="57"/>
      <c r="XZ68" s="57"/>
      <c r="YA68" s="59" t="s">
        <v>77</v>
      </c>
      <c r="YB68" s="59" t="s">
        <v>78</v>
      </c>
      <c r="YC68" s="59" t="s">
        <v>79</v>
      </c>
      <c r="YD68" s="59" t="s">
        <v>80</v>
      </c>
      <c r="YE68" s="59" t="s">
        <v>81</v>
      </c>
      <c r="YF68" s="59" t="s">
        <v>64</v>
      </c>
      <c r="YG68" s="59" t="s">
        <v>98</v>
      </c>
      <c r="YH68" s="59" t="s">
        <v>124</v>
      </c>
      <c r="YI68" s="59" t="s">
        <v>101</v>
      </c>
      <c r="YJ68" s="56"/>
      <c r="YK68" s="57"/>
      <c r="YL68" s="57"/>
      <c r="YM68" s="57"/>
      <c r="YN68" s="57"/>
      <c r="YO68" s="57"/>
      <c r="YP68" s="57"/>
      <c r="YQ68" s="59" t="s">
        <v>77</v>
      </c>
      <c r="YR68" s="59" t="s">
        <v>78</v>
      </c>
      <c r="YS68" s="59" t="s">
        <v>79</v>
      </c>
      <c r="YT68" s="59" t="s">
        <v>80</v>
      </c>
      <c r="YU68" s="59" t="s">
        <v>81</v>
      </c>
      <c r="YV68" s="59" t="s">
        <v>64</v>
      </c>
      <c r="YW68" s="59" t="s">
        <v>98</v>
      </c>
      <c r="YX68" s="59" t="s">
        <v>124</v>
      </c>
      <c r="YY68" s="59" t="s">
        <v>101</v>
      </c>
      <c r="YZ68" s="56"/>
      <c r="ZA68" s="57"/>
      <c r="ZB68" s="57"/>
      <c r="ZC68" s="57"/>
      <c r="ZD68" s="57"/>
      <c r="ZE68" s="57"/>
      <c r="ZF68" s="57"/>
      <c r="ZG68" s="59" t="s">
        <v>77</v>
      </c>
      <c r="ZH68" s="59" t="s">
        <v>78</v>
      </c>
      <c r="ZI68" s="59" t="s">
        <v>79</v>
      </c>
      <c r="ZJ68" s="59" t="s">
        <v>80</v>
      </c>
      <c r="ZK68" s="59" t="s">
        <v>81</v>
      </c>
      <c r="ZL68" s="59" t="s">
        <v>64</v>
      </c>
      <c r="ZM68" s="59" t="s">
        <v>98</v>
      </c>
      <c r="ZN68" s="59" t="s">
        <v>124</v>
      </c>
      <c r="ZO68" s="59" t="s">
        <v>101</v>
      </c>
      <c r="ZP68" s="56"/>
      <c r="ZQ68" s="57"/>
      <c r="ZR68" s="57"/>
      <c r="ZS68" s="57"/>
      <c r="ZT68" s="57"/>
      <c r="ZU68" s="57"/>
      <c r="ZV68" s="57"/>
      <c r="ZW68" s="59" t="s">
        <v>77</v>
      </c>
      <c r="ZX68" s="59" t="s">
        <v>78</v>
      </c>
      <c r="ZY68" s="59" t="s">
        <v>79</v>
      </c>
      <c r="ZZ68" s="59" t="s">
        <v>80</v>
      </c>
      <c r="AAA68" s="59" t="s">
        <v>81</v>
      </c>
      <c r="AAB68" s="59" t="s">
        <v>64</v>
      </c>
      <c r="AAC68" s="59" t="s">
        <v>98</v>
      </c>
      <c r="AAD68" s="59" t="s">
        <v>124</v>
      </c>
      <c r="AAE68" s="59" t="s">
        <v>101</v>
      </c>
      <c r="AAF68" s="56"/>
      <c r="AAG68" s="57"/>
      <c r="AAH68" s="57"/>
      <c r="AAI68" s="57"/>
      <c r="AAJ68" s="57"/>
      <c r="AAK68" s="57"/>
      <c r="AAL68" s="57"/>
      <c r="AAM68" s="59" t="s">
        <v>77</v>
      </c>
      <c r="AAN68" s="59" t="s">
        <v>78</v>
      </c>
      <c r="AAO68" s="59" t="s">
        <v>79</v>
      </c>
      <c r="AAP68" s="59" t="s">
        <v>80</v>
      </c>
      <c r="AAQ68" s="59" t="s">
        <v>81</v>
      </c>
      <c r="AAR68" s="59" t="s">
        <v>64</v>
      </c>
      <c r="AAS68" s="59" t="s">
        <v>98</v>
      </c>
      <c r="AAT68" s="59" t="s">
        <v>124</v>
      </c>
      <c r="AAU68" s="59" t="s">
        <v>101</v>
      </c>
      <c r="AAV68" s="56"/>
      <c r="AAW68" s="57"/>
      <c r="AAX68" s="57"/>
      <c r="AAY68" s="57"/>
      <c r="AAZ68" s="57"/>
      <c r="ABA68" s="57"/>
      <c r="ABB68" s="57"/>
      <c r="ABC68" s="59" t="s">
        <v>77</v>
      </c>
      <c r="ABD68" s="59" t="s">
        <v>78</v>
      </c>
      <c r="ABE68" s="59" t="s">
        <v>79</v>
      </c>
      <c r="ABF68" s="59" t="s">
        <v>80</v>
      </c>
      <c r="ABG68" s="59" t="s">
        <v>81</v>
      </c>
      <c r="ABH68" s="59" t="s">
        <v>64</v>
      </c>
      <c r="ABI68" s="59" t="s">
        <v>98</v>
      </c>
      <c r="ABJ68" s="59" t="s">
        <v>124</v>
      </c>
      <c r="ABK68" s="59" t="s">
        <v>101</v>
      </c>
      <c r="ABL68" s="56"/>
      <c r="ABM68" s="57"/>
      <c r="ABN68" s="57"/>
      <c r="ABO68" s="57"/>
      <c r="ABP68" s="57"/>
      <c r="ABQ68" s="57"/>
      <c r="ABR68" s="57"/>
      <c r="ABS68" s="59" t="s">
        <v>77</v>
      </c>
      <c r="ABT68" s="59" t="s">
        <v>78</v>
      </c>
      <c r="ABU68" s="59" t="s">
        <v>79</v>
      </c>
      <c r="ABV68" s="59" t="s">
        <v>80</v>
      </c>
      <c r="ABW68" s="59" t="s">
        <v>81</v>
      </c>
      <c r="ABX68" s="59" t="s">
        <v>64</v>
      </c>
      <c r="ABY68" s="59" t="s">
        <v>98</v>
      </c>
      <c r="ABZ68" s="59" t="s">
        <v>124</v>
      </c>
      <c r="ACA68" s="59" t="s">
        <v>101</v>
      </c>
      <c r="ACB68" s="56"/>
      <c r="ACC68" s="57"/>
      <c r="ACD68" s="57"/>
      <c r="ACE68" s="57"/>
      <c r="ACF68" s="57"/>
      <c r="ACG68" s="57"/>
      <c r="ACH68" s="57"/>
      <c r="ACI68" s="59" t="s">
        <v>77</v>
      </c>
      <c r="ACJ68" s="59" t="s">
        <v>78</v>
      </c>
      <c r="ACK68" s="59" t="s">
        <v>79</v>
      </c>
      <c r="ACL68" s="59" t="s">
        <v>80</v>
      </c>
      <c r="ACM68" s="59" t="s">
        <v>81</v>
      </c>
      <c r="ACN68" s="59" t="s">
        <v>64</v>
      </c>
      <c r="ACO68" s="59" t="s">
        <v>98</v>
      </c>
      <c r="ACP68" s="59" t="s">
        <v>124</v>
      </c>
      <c r="ACQ68" s="59" t="s">
        <v>101</v>
      </c>
      <c r="ACR68" s="56"/>
      <c r="ACS68" s="57"/>
      <c r="ACT68" s="57"/>
      <c r="ACU68" s="57"/>
      <c r="ACV68" s="57"/>
      <c r="ACW68" s="57"/>
      <c r="ACX68" s="57"/>
      <c r="ACY68" s="59" t="s">
        <v>77</v>
      </c>
      <c r="ACZ68" s="59" t="s">
        <v>78</v>
      </c>
      <c r="ADA68" s="59" t="s">
        <v>79</v>
      </c>
      <c r="ADB68" s="59" t="s">
        <v>80</v>
      </c>
      <c r="ADC68" s="59" t="s">
        <v>81</v>
      </c>
      <c r="ADD68" s="59" t="s">
        <v>64</v>
      </c>
      <c r="ADE68" s="59" t="s">
        <v>98</v>
      </c>
      <c r="ADF68" s="59" t="s">
        <v>124</v>
      </c>
      <c r="ADG68" s="59" t="s">
        <v>101</v>
      </c>
      <c r="ADH68" s="56"/>
      <c r="ADI68" s="57"/>
      <c r="ADJ68" s="57"/>
      <c r="ADK68" s="57"/>
      <c r="ADL68" s="57"/>
      <c r="ADM68" s="57"/>
      <c r="ADN68" s="57"/>
      <c r="ADO68" s="59" t="s">
        <v>77</v>
      </c>
      <c r="ADP68" s="59" t="s">
        <v>78</v>
      </c>
      <c r="ADQ68" s="59" t="s">
        <v>79</v>
      </c>
      <c r="ADR68" s="59" t="s">
        <v>80</v>
      </c>
      <c r="ADS68" s="59" t="s">
        <v>81</v>
      </c>
      <c r="ADT68" s="59" t="s">
        <v>64</v>
      </c>
      <c r="ADU68" s="59" t="s">
        <v>98</v>
      </c>
      <c r="ADV68" s="59" t="s">
        <v>124</v>
      </c>
      <c r="ADW68" s="59" t="s">
        <v>101</v>
      </c>
      <c r="ADX68" s="56"/>
      <c r="ADY68" s="57"/>
      <c r="ADZ68" s="57"/>
      <c r="AEA68" s="57"/>
      <c r="AEB68" s="57"/>
      <c r="AEC68" s="57"/>
      <c r="AED68" s="57"/>
      <c r="AEE68" s="59" t="s">
        <v>77</v>
      </c>
      <c r="AEF68" s="59" t="s">
        <v>78</v>
      </c>
      <c r="AEG68" s="59" t="s">
        <v>79</v>
      </c>
      <c r="AEH68" s="59" t="s">
        <v>80</v>
      </c>
      <c r="AEI68" s="59" t="s">
        <v>81</v>
      </c>
      <c r="AEJ68" s="59" t="s">
        <v>64</v>
      </c>
      <c r="AEK68" s="59" t="s">
        <v>98</v>
      </c>
      <c r="AEL68" s="59" t="s">
        <v>124</v>
      </c>
      <c r="AEM68" s="59" t="s">
        <v>101</v>
      </c>
      <c r="AEN68" s="56"/>
      <c r="AEO68" s="57"/>
      <c r="AEP68" s="57"/>
      <c r="AEQ68" s="57"/>
      <c r="AER68" s="57"/>
      <c r="AES68" s="57"/>
      <c r="AET68" s="57"/>
      <c r="AEU68" s="59" t="s">
        <v>77</v>
      </c>
      <c r="AEV68" s="59" t="s">
        <v>78</v>
      </c>
      <c r="AEW68" s="59" t="s">
        <v>79</v>
      </c>
      <c r="AEX68" s="59" t="s">
        <v>80</v>
      </c>
      <c r="AEY68" s="59" t="s">
        <v>81</v>
      </c>
      <c r="AEZ68" s="59" t="s">
        <v>64</v>
      </c>
      <c r="AFA68" s="59" t="s">
        <v>98</v>
      </c>
      <c r="AFB68" s="59" t="s">
        <v>124</v>
      </c>
      <c r="AFC68" s="59" t="s">
        <v>101</v>
      </c>
      <c r="AFD68" s="56"/>
      <c r="AFE68" s="57"/>
      <c r="AFF68" s="57"/>
      <c r="AFG68" s="57"/>
      <c r="AFH68" s="57"/>
      <c r="AFI68" s="57"/>
      <c r="AFJ68" s="57"/>
      <c r="AFK68" s="59" t="s">
        <v>77</v>
      </c>
      <c r="AFL68" s="59" t="s">
        <v>78</v>
      </c>
      <c r="AFM68" s="59" t="s">
        <v>79</v>
      </c>
      <c r="AFN68" s="59" t="s">
        <v>80</v>
      </c>
      <c r="AFO68" s="59" t="s">
        <v>81</v>
      </c>
      <c r="AFP68" s="59" t="s">
        <v>64</v>
      </c>
      <c r="AFQ68" s="59" t="s">
        <v>98</v>
      </c>
      <c r="AFR68" s="59" t="s">
        <v>124</v>
      </c>
      <c r="AFS68" s="59" t="s">
        <v>101</v>
      </c>
      <c r="AFT68" s="56"/>
      <c r="AFU68" s="57"/>
      <c r="AFV68" s="57"/>
      <c r="AFW68" s="57"/>
      <c r="AFX68" s="57"/>
      <c r="AFY68" s="57"/>
      <c r="AFZ68" s="57"/>
      <c r="AGA68" s="59" t="s">
        <v>77</v>
      </c>
      <c r="AGB68" s="59" t="s">
        <v>78</v>
      </c>
      <c r="AGC68" s="59" t="s">
        <v>79</v>
      </c>
      <c r="AGD68" s="59" t="s">
        <v>80</v>
      </c>
      <c r="AGE68" s="59" t="s">
        <v>81</v>
      </c>
      <c r="AGF68" s="59" t="s">
        <v>64</v>
      </c>
      <c r="AGG68" s="59" t="s">
        <v>98</v>
      </c>
      <c r="AGH68" s="59" t="s">
        <v>124</v>
      </c>
      <c r="AGI68" s="59" t="s">
        <v>101</v>
      </c>
      <c r="AGJ68" s="56"/>
      <c r="AGK68" s="57"/>
      <c r="AGL68" s="57"/>
      <c r="AGM68" s="57"/>
      <c r="AGN68" s="57"/>
      <c r="AGO68" s="57"/>
      <c r="AGP68" s="57"/>
      <c r="AGQ68" s="59" t="s">
        <v>77</v>
      </c>
      <c r="AGR68" s="59" t="s">
        <v>78</v>
      </c>
      <c r="AGS68" s="59" t="s">
        <v>79</v>
      </c>
      <c r="AGT68" s="59" t="s">
        <v>80</v>
      </c>
      <c r="AGU68" s="59" t="s">
        <v>81</v>
      </c>
      <c r="AGV68" s="59" t="s">
        <v>64</v>
      </c>
      <c r="AGW68" s="59" t="s">
        <v>98</v>
      </c>
      <c r="AGX68" s="59" t="s">
        <v>124</v>
      </c>
      <c r="AGY68" s="59" t="s">
        <v>101</v>
      </c>
      <c r="AGZ68" s="56"/>
      <c r="AHA68" s="57"/>
      <c r="AHB68" s="57"/>
      <c r="AHC68" s="57"/>
      <c r="AHD68" s="57"/>
      <c r="AHE68" s="57"/>
      <c r="AHF68" s="57"/>
      <c r="AHG68" s="59" t="s">
        <v>77</v>
      </c>
      <c r="AHH68" s="59" t="s">
        <v>78</v>
      </c>
      <c r="AHI68" s="59" t="s">
        <v>79</v>
      </c>
      <c r="AHJ68" s="59" t="s">
        <v>80</v>
      </c>
      <c r="AHK68" s="59" t="s">
        <v>81</v>
      </c>
      <c r="AHL68" s="59" t="s">
        <v>64</v>
      </c>
      <c r="AHM68" s="59" t="s">
        <v>98</v>
      </c>
      <c r="AHN68" s="59" t="s">
        <v>124</v>
      </c>
      <c r="AHO68" s="59" t="s">
        <v>101</v>
      </c>
      <c r="AHP68" s="56"/>
      <c r="AHQ68" s="57"/>
      <c r="AHR68" s="57"/>
      <c r="AHS68" s="57"/>
      <c r="AHT68" s="57"/>
      <c r="AHU68" s="57"/>
      <c r="AHV68" s="57"/>
      <c r="AHW68" s="59" t="s">
        <v>77</v>
      </c>
      <c r="AHX68" s="59" t="s">
        <v>78</v>
      </c>
      <c r="AHY68" s="59" t="s">
        <v>79</v>
      </c>
      <c r="AHZ68" s="59" t="s">
        <v>80</v>
      </c>
      <c r="AIA68" s="59" t="s">
        <v>81</v>
      </c>
      <c r="AIB68" s="59" t="s">
        <v>64</v>
      </c>
      <c r="AIC68" s="59" t="s">
        <v>98</v>
      </c>
      <c r="AID68" s="59" t="s">
        <v>124</v>
      </c>
      <c r="AIE68" s="59" t="s">
        <v>101</v>
      </c>
      <c r="AIF68" s="56"/>
      <c r="AIG68" s="57"/>
      <c r="AIH68" s="57"/>
      <c r="AII68" s="57"/>
      <c r="AIJ68" s="57"/>
      <c r="AIK68" s="57"/>
      <c r="AIL68" s="57"/>
      <c r="AIM68" s="59" t="s">
        <v>77</v>
      </c>
      <c r="AIN68" s="59" t="s">
        <v>78</v>
      </c>
      <c r="AIO68" s="59" t="s">
        <v>79</v>
      </c>
      <c r="AIP68" s="59" t="s">
        <v>80</v>
      </c>
      <c r="AIQ68" s="59" t="s">
        <v>81</v>
      </c>
      <c r="AIR68" s="59" t="s">
        <v>64</v>
      </c>
      <c r="AIS68" s="59" t="s">
        <v>98</v>
      </c>
      <c r="AIT68" s="59" t="s">
        <v>124</v>
      </c>
      <c r="AIU68" s="59" t="s">
        <v>101</v>
      </c>
      <c r="AIV68" s="56"/>
      <c r="AIW68" s="57"/>
      <c r="AIX68" s="57"/>
      <c r="AIY68" s="57"/>
      <c r="AIZ68" s="57"/>
      <c r="AJA68" s="57"/>
      <c r="AJB68" s="57"/>
      <c r="AJC68" s="59" t="s">
        <v>77</v>
      </c>
      <c r="AJD68" s="59" t="s">
        <v>78</v>
      </c>
      <c r="AJE68" s="59" t="s">
        <v>79</v>
      </c>
      <c r="AJF68" s="59" t="s">
        <v>80</v>
      </c>
      <c r="AJG68" s="59" t="s">
        <v>81</v>
      </c>
      <c r="AJH68" s="59" t="s">
        <v>64</v>
      </c>
      <c r="AJI68" s="59" t="s">
        <v>98</v>
      </c>
      <c r="AJJ68" s="59" t="s">
        <v>124</v>
      </c>
      <c r="AJK68" s="59" t="s">
        <v>101</v>
      </c>
      <c r="AJL68" s="56"/>
      <c r="AJM68" s="57"/>
      <c r="AJN68" s="57"/>
      <c r="AJO68" s="57"/>
      <c r="AJP68" s="57"/>
      <c r="AJQ68" s="57"/>
      <c r="AJR68" s="57"/>
      <c r="AJS68" s="59" t="s">
        <v>77</v>
      </c>
      <c r="AJT68" s="59" t="s">
        <v>78</v>
      </c>
      <c r="AJU68" s="59" t="s">
        <v>79</v>
      </c>
      <c r="AJV68" s="59" t="s">
        <v>80</v>
      </c>
      <c r="AJW68" s="59" t="s">
        <v>81</v>
      </c>
      <c r="AJX68" s="59" t="s">
        <v>64</v>
      </c>
      <c r="AJY68" s="59" t="s">
        <v>98</v>
      </c>
      <c r="AJZ68" s="59" t="s">
        <v>124</v>
      </c>
      <c r="AKA68" s="59" t="s">
        <v>101</v>
      </c>
      <c r="AKB68" s="56"/>
      <c r="AKC68" s="57"/>
      <c r="AKD68" s="57"/>
      <c r="AKE68" s="57"/>
      <c r="AKF68" s="57"/>
      <c r="AKG68" s="57"/>
      <c r="AKH68" s="57"/>
      <c r="AKI68" s="59" t="s">
        <v>77</v>
      </c>
      <c r="AKJ68" s="59" t="s">
        <v>78</v>
      </c>
      <c r="AKK68" s="59" t="s">
        <v>79</v>
      </c>
      <c r="AKL68" s="59" t="s">
        <v>80</v>
      </c>
      <c r="AKM68" s="59" t="s">
        <v>81</v>
      </c>
      <c r="AKN68" s="59" t="s">
        <v>64</v>
      </c>
      <c r="AKO68" s="59" t="s">
        <v>98</v>
      </c>
      <c r="AKP68" s="59" t="s">
        <v>124</v>
      </c>
      <c r="AKQ68" s="59" t="s">
        <v>101</v>
      </c>
      <c r="AKR68" s="56"/>
      <c r="AKS68" s="57"/>
      <c r="AKT68" s="57"/>
      <c r="AKU68" s="57"/>
      <c r="AKV68" s="57"/>
      <c r="AKW68" s="57"/>
      <c r="AKX68" s="57"/>
      <c r="AKY68" s="59" t="s">
        <v>77</v>
      </c>
      <c r="AKZ68" s="59" t="s">
        <v>78</v>
      </c>
      <c r="ALA68" s="59" t="s">
        <v>79</v>
      </c>
      <c r="ALB68" s="59" t="s">
        <v>80</v>
      </c>
      <c r="ALC68" s="59" t="s">
        <v>81</v>
      </c>
      <c r="ALD68" s="59" t="s">
        <v>64</v>
      </c>
      <c r="ALE68" s="59" t="s">
        <v>98</v>
      </c>
      <c r="ALF68" s="59" t="s">
        <v>124</v>
      </c>
      <c r="ALG68" s="59" t="s">
        <v>101</v>
      </c>
      <c r="ALH68" s="56"/>
      <c r="ALI68" s="57"/>
      <c r="ALJ68" s="57"/>
      <c r="ALK68" s="57"/>
      <c r="ALL68" s="57"/>
      <c r="ALM68" s="57"/>
      <c r="ALN68" s="57"/>
      <c r="ALO68" s="59" t="s">
        <v>77</v>
      </c>
      <c r="ALP68" s="59" t="s">
        <v>78</v>
      </c>
      <c r="ALQ68" s="59" t="s">
        <v>79</v>
      </c>
      <c r="ALR68" s="59" t="s">
        <v>80</v>
      </c>
      <c r="ALS68" s="59" t="s">
        <v>81</v>
      </c>
      <c r="ALT68" s="59" t="s">
        <v>64</v>
      </c>
      <c r="ALU68" s="59" t="s">
        <v>98</v>
      </c>
      <c r="ALV68" s="59" t="s">
        <v>124</v>
      </c>
      <c r="ALW68" s="59" t="s">
        <v>101</v>
      </c>
      <c r="ALX68" s="56"/>
      <c r="ALY68" s="57"/>
      <c r="ALZ68" s="57"/>
      <c r="AMA68" s="57"/>
      <c r="AMB68" s="57"/>
      <c r="AMC68" s="57"/>
      <c r="AMD68" s="57"/>
      <c r="AME68" s="59" t="s">
        <v>77</v>
      </c>
      <c r="AMF68" s="59" t="s">
        <v>78</v>
      </c>
      <c r="AMG68" s="59" t="s">
        <v>79</v>
      </c>
      <c r="AMH68" s="59" t="s">
        <v>80</v>
      </c>
      <c r="AMI68" s="59" t="s">
        <v>81</v>
      </c>
      <c r="AMJ68" s="59" t="s">
        <v>64</v>
      </c>
      <c r="AMK68" s="59" t="s">
        <v>98</v>
      </c>
      <c r="AML68" s="59" t="s">
        <v>124</v>
      </c>
      <c r="AMM68" s="59" t="s">
        <v>101</v>
      </c>
      <c r="AMN68" s="56"/>
      <c r="AMO68" s="57"/>
      <c r="AMP68" s="57"/>
      <c r="AMQ68" s="57"/>
      <c r="AMR68" s="57"/>
      <c r="AMS68" s="57"/>
      <c r="AMT68" s="57"/>
      <c r="AMU68" s="59" t="s">
        <v>77</v>
      </c>
      <c r="AMV68" s="59" t="s">
        <v>78</v>
      </c>
      <c r="AMW68" s="59" t="s">
        <v>79</v>
      </c>
      <c r="AMX68" s="59" t="s">
        <v>80</v>
      </c>
      <c r="AMY68" s="59" t="s">
        <v>81</v>
      </c>
      <c r="AMZ68" s="59" t="s">
        <v>64</v>
      </c>
      <c r="ANA68" s="59" t="s">
        <v>98</v>
      </c>
      <c r="ANB68" s="59" t="s">
        <v>124</v>
      </c>
      <c r="ANC68" s="59" t="s">
        <v>101</v>
      </c>
      <c r="AND68" s="56"/>
      <c r="ANE68" s="57"/>
      <c r="ANF68" s="57"/>
      <c r="ANG68" s="57"/>
      <c r="ANH68" s="57"/>
      <c r="ANI68" s="57"/>
      <c r="ANJ68" s="57"/>
      <c r="ANK68" s="59" t="s">
        <v>77</v>
      </c>
      <c r="ANL68" s="59" t="s">
        <v>78</v>
      </c>
      <c r="ANM68" s="59" t="s">
        <v>79</v>
      </c>
      <c r="ANN68" s="59" t="s">
        <v>80</v>
      </c>
      <c r="ANO68" s="59" t="s">
        <v>81</v>
      </c>
      <c r="ANP68" s="59" t="s">
        <v>64</v>
      </c>
      <c r="ANQ68" s="59" t="s">
        <v>98</v>
      </c>
      <c r="ANR68" s="59" t="s">
        <v>124</v>
      </c>
      <c r="ANS68" s="59" t="s">
        <v>101</v>
      </c>
      <c r="ANT68" s="56"/>
      <c r="ANU68" s="57"/>
      <c r="ANV68" s="57"/>
      <c r="ANW68" s="57"/>
      <c r="ANX68" s="57"/>
      <c r="ANY68" s="57"/>
      <c r="ANZ68" s="57"/>
      <c r="AOA68" s="59" t="s">
        <v>77</v>
      </c>
      <c r="AOB68" s="59" t="s">
        <v>78</v>
      </c>
      <c r="AOC68" s="59" t="s">
        <v>79</v>
      </c>
      <c r="AOD68" s="59" t="s">
        <v>80</v>
      </c>
      <c r="AOE68" s="59" t="s">
        <v>81</v>
      </c>
      <c r="AOF68" s="59" t="s">
        <v>64</v>
      </c>
      <c r="AOG68" s="59" t="s">
        <v>98</v>
      </c>
      <c r="AOH68" s="59" t="s">
        <v>124</v>
      </c>
      <c r="AOI68" s="59" t="s">
        <v>101</v>
      </c>
      <c r="AOJ68" s="56"/>
      <c r="AOK68" s="57"/>
      <c r="AOL68" s="57"/>
      <c r="AOM68" s="57"/>
      <c r="AON68" s="57"/>
      <c r="AOO68" s="57"/>
      <c r="AOP68" s="57"/>
      <c r="AOQ68" s="59" t="s">
        <v>77</v>
      </c>
      <c r="AOR68" s="59" t="s">
        <v>78</v>
      </c>
      <c r="AOS68" s="59" t="s">
        <v>79</v>
      </c>
      <c r="AOT68" s="59" t="s">
        <v>80</v>
      </c>
      <c r="AOU68" s="59" t="s">
        <v>81</v>
      </c>
      <c r="AOV68" s="59" t="s">
        <v>64</v>
      </c>
      <c r="AOW68" s="59" t="s">
        <v>98</v>
      </c>
      <c r="AOX68" s="59" t="s">
        <v>124</v>
      </c>
      <c r="AOY68" s="59" t="s">
        <v>101</v>
      </c>
      <c r="AOZ68" s="56"/>
      <c r="APA68" s="57"/>
      <c r="APB68" s="57"/>
      <c r="APC68" s="57"/>
      <c r="APD68" s="57"/>
      <c r="APE68" s="57"/>
      <c r="APF68" s="57"/>
      <c r="APG68" s="59" t="s">
        <v>77</v>
      </c>
      <c r="APH68" s="59" t="s">
        <v>78</v>
      </c>
      <c r="API68" s="59" t="s">
        <v>79</v>
      </c>
      <c r="APJ68" s="59" t="s">
        <v>80</v>
      </c>
      <c r="APK68" s="59" t="s">
        <v>81</v>
      </c>
      <c r="APL68" s="59" t="s">
        <v>64</v>
      </c>
      <c r="APM68" s="59" t="s">
        <v>98</v>
      </c>
      <c r="APN68" s="59" t="s">
        <v>124</v>
      </c>
      <c r="APO68" s="59" t="s">
        <v>101</v>
      </c>
      <c r="APP68" s="56"/>
      <c r="APQ68" s="57"/>
      <c r="APR68" s="57"/>
      <c r="APS68" s="57"/>
      <c r="APT68" s="57"/>
      <c r="APU68" s="57"/>
      <c r="APV68" s="57"/>
      <c r="APW68" s="59" t="s">
        <v>77</v>
      </c>
      <c r="APX68" s="59" t="s">
        <v>78</v>
      </c>
      <c r="APY68" s="59" t="s">
        <v>79</v>
      </c>
      <c r="APZ68" s="59" t="s">
        <v>80</v>
      </c>
      <c r="AQA68" s="59" t="s">
        <v>81</v>
      </c>
      <c r="AQB68" s="59" t="s">
        <v>64</v>
      </c>
      <c r="AQC68" s="59" t="s">
        <v>98</v>
      </c>
      <c r="AQD68" s="59" t="s">
        <v>124</v>
      </c>
      <c r="AQE68" s="59" t="s">
        <v>101</v>
      </c>
      <c r="AQF68" s="56"/>
      <c r="AQG68" s="57"/>
      <c r="AQH68" s="57"/>
      <c r="AQI68" s="57"/>
      <c r="AQJ68" s="57"/>
      <c r="AQK68" s="57"/>
      <c r="AQL68" s="57"/>
      <c r="AQM68" s="59" t="s">
        <v>77</v>
      </c>
      <c r="AQN68" s="59" t="s">
        <v>78</v>
      </c>
      <c r="AQO68" s="59" t="s">
        <v>79</v>
      </c>
      <c r="AQP68" s="59" t="s">
        <v>80</v>
      </c>
      <c r="AQQ68" s="59" t="s">
        <v>81</v>
      </c>
      <c r="AQR68" s="59" t="s">
        <v>64</v>
      </c>
      <c r="AQS68" s="59" t="s">
        <v>98</v>
      </c>
      <c r="AQT68" s="59" t="s">
        <v>124</v>
      </c>
      <c r="AQU68" s="59" t="s">
        <v>101</v>
      </c>
      <c r="AQV68" s="56"/>
      <c r="AQW68" s="57"/>
      <c r="AQX68" s="57"/>
      <c r="AQY68" s="57"/>
      <c r="AQZ68" s="57"/>
      <c r="ARA68" s="57"/>
      <c r="ARB68" s="57"/>
      <c r="ARC68" s="59" t="s">
        <v>77</v>
      </c>
      <c r="ARD68" s="59" t="s">
        <v>78</v>
      </c>
      <c r="ARE68" s="59" t="s">
        <v>79</v>
      </c>
      <c r="ARF68" s="59" t="s">
        <v>80</v>
      </c>
      <c r="ARG68" s="59" t="s">
        <v>81</v>
      </c>
      <c r="ARH68" s="59" t="s">
        <v>64</v>
      </c>
      <c r="ARI68" s="59" t="s">
        <v>98</v>
      </c>
      <c r="ARJ68" s="59" t="s">
        <v>124</v>
      </c>
      <c r="ARK68" s="59" t="s">
        <v>101</v>
      </c>
      <c r="ARL68" s="56"/>
      <c r="ARM68" s="57"/>
      <c r="ARN68" s="57"/>
      <c r="ARO68" s="57"/>
      <c r="ARP68" s="57"/>
      <c r="ARQ68" s="57"/>
      <c r="ARR68" s="57"/>
      <c r="ARS68" s="59" t="s">
        <v>77</v>
      </c>
      <c r="ART68" s="59" t="s">
        <v>78</v>
      </c>
      <c r="ARU68" s="59" t="s">
        <v>79</v>
      </c>
      <c r="ARV68" s="59" t="s">
        <v>80</v>
      </c>
      <c r="ARW68" s="59" t="s">
        <v>81</v>
      </c>
      <c r="ARX68" s="59" t="s">
        <v>64</v>
      </c>
      <c r="ARY68" s="59" t="s">
        <v>98</v>
      </c>
      <c r="ARZ68" s="59" t="s">
        <v>124</v>
      </c>
      <c r="ASA68" s="59" t="s">
        <v>101</v>
      </c>
      <c r="ASB68" s="56"/>
      <c r="ASC68" s="57"/>
      <c r="ASD68" s="57"/>
      <c r="ASE68" s="57"/>
      <c r="ASF68" s="57"/>
      <c r="ASG68" s="57"/>
      <c r="ASH68" s="57"/>
      <c r="ASI68" s="59" t="s">
        <v>77</v>
      </c>
      <c r="ASJ68" s="59" t="s">
        <v>78</v>
      </c>
      <c r="ASK68" s="59" t="s">
        <v>79</v>
      </c>
      <c r="ASL68" s="59" t="s">
        <v>80</v>
      </c>
      <c r="ASM68" s="59" t="s">
        <v>81</v>
      </c>
      <c r="ASN68" s="59" t="s">
        <v>64</v>
      </c>
      <c r="ASO68" s="59" t="s">
        <v>98</v>
      </c>
      <c r="ASP68" s="59" t="s">
        <v>124</v>
      </c>
      <c r="ASQ68" s="59" t="s">
        <v>101</v>
      </c>
      <c r="ASR68" s="56"/>
      <c r="ASS68" s="57"/>
      <c r="AST68" s="57"/>
      <c r="ASU68" s="57"/>
      <c r="ASV68" s="57"/>
      <c r="ASW68" s="57"/>
      <c r="ASX68" s="57"/>
      <c r="ASY68" s="59" t="s">
        <v>77</v>
      </c>
      <c r="ASZ68" s="59" t="s">
        <v>78</v>
      </c>
      <c r="ATA68" s="59" t="s">
        <v>79</v>
      </c>
      <c r="ATB68" s="59" t="s">
        <v>80</v>
      </c>
      <c r="ATC68" s="59" t="s">
        <v>81</v>
      </c>
      <c r="ATD68" s="59" t="s">
        <v>64</v>
      </c>
      <c r="ATE68" s="59" t="s">
        <v>98</v>
      </c>
      <c r="ATF68" s="59" t="s">
        <v>124</v>
      </c>
      <c r="ATG68" s="59" t="s">
        <v>101</v>
      </c>
      <c r="ATH68" s="56"/>
      <c r="ATI68" s="57"/>
      <c r="ATJ68" s="57"/>
      <c r="ATK68" s="57"/>
      <c r="ATL68" s="57"/>
      <c r="ATM68" s="57"/>
      <c r="ATN68" s="57"/>
      <c r="ATO68" s="59" t="s">
        <v>77</v>
      </c>
      <c r="ATP68" s="59" t="s">
        <v>78</v>
      </c>
      <c r="ATQ68" s="59" t="s">
        <v>79</v>
      </c>
      <c r="ATR68" s="59" t="s">
        <v>80</v>
      </c>
      <c r="ATS68" s="59" t="s">
        <v>81</v>
      </c>
      <c r="ATT68" s="59" t="s">
        <v>64</v>
      </c>
      <c r="ATU68" s="59" t="s">
        <v>98</v>
      </c>
      <c r="ATV68" s="59" t="s">
        <v>124</v>
      </c>
      <c r="ATW68" s="59" t="s">
        <v>101</v>
      </c>
      <c r="ATX68" s="56"/>
      <c r="ATY68" s="57"/>
      <c r="ATZ68" s="57"/>
      <c r="AUA68" s="57"/>
      <c r="AUB68" s="57"/>
      <c r="AUC68" s="57"/>
      <c r="AUD68" s="57"/>
      <c r="AUE68" s="59" t="s">
        <v>77</v>
      </c>
      <c r="AUF68" s="59" t="s">
        <v>78</v>
      </c>
      <c r="AUG68" s="59" t="s">
        <v>79</v>
      </c>
      <c r="AUH68" s="59" t="s">
        <v>80</v>
      </c>
      <c r="AUI68" s="59" t="s">
        <v>81</v>
      </c>
      <c r="AUJ68" s="59" t="s">
        <v>64</v>
      </c>
      <c r="AUK68" s="59" t="s">
        <v>98</v>
      </c>
      <c r="AUL68" s="59" t="s">
        <v>124</v>
      </c>
      <c r="AUM68" s="59" t="s">
        <v>101</v>
      </c>
      <c r="AUN68" s="56"/>
      <c r="AUO68" s="57"/>
      <c r="AUP68" s="57"/>
      <c r="AUQ68" s="57"/>
      <c r="AUR68" s="57"/>
      <c r="AUS68" s="57"/>
      <c r="AUT68" s="57"/>
      <c r="AUU68" s="59" t="s">
        <v>77</v>
      </c>
      <c r="AUV68" s="59" t="s">
        <v>78</v>
      </c>
      <c r="AUW68" s="59" t="s">
        <v>79</v>
      </c>
      <c r="AUX68" s="59" t="s">
        <v>80</v>
      </c>
      <c r="AUY68" s="59" t="s">
        <v>81</v>
      </c>
      <c r="AUZ68" s="59" t="s">
        <v>64</v>
      </c>
      <c r="AVA68" s="59" t="s">
        <v>98</v>
      </c>
      <c r="AVB68" s="59" t="s">
        <v>124</v>
      </c>
      <c r="AVC68" s="59" t="s">
        <v>101</v>
      </c>
      <c r="AVD68" s="56"/>
      <c r="AVE68" s="57"/>
      <c r="AVF68" s="57"/>
      <c r="AVG68" s="57"/>
      <c r="AVH68" s="57"/>
      <c r="AVI68" s="57"/>
      <c r="AVJ68" s="57"/>
      <c r="AVK68" s="59" t="s">
        <v>77</v>
      </c>
      <c r="AVL68" s="59" t="s">
        <v>78</v>
      </c>
      <c r="AVM68" s="59" t="s">
        <v>79</v>
      </c>
      <c r="AVN68" s="59" t="s">
        <v>80</v>
      </c>
      <c r="AVO68" s="59" t="s">
        <v>81</v>
      </c>
      <c r="AVP68" s="59" t="s">
        <v>64</v>
      </c>
      <c r="AVQ68" s="59" t="s">
        <v>98</v>
      </c>
      <c r="AVR68" s="59" t="s">
        <v>124</v>
      </c>
      <c r="AVS68" s="59" t="s">
        <v>101</v>
      </c>
      <c r="AVT68" s="56"/>
      <c r="AVU68" s="57"/>
      <c r="AVV68" s="57"/>
      <c r="AVW68" s="57"/>
      <c r="AVX68" s="57"/>
      <c r="AVY68" s="57"/>
      <c r="AVZ68" s="57"/>
      <c r="AWA68" s="59" t="s">
        <v>77</v>
      </c>
      <c r="AWB68" s="59" t="s">
        <v>78</v>
      </c>
      <c r="AWC68" s="59" t="s">
        <v>79</v>
      </c>
      <c r="AWD68" s="59" t="s">
        <v>80</v>
      </c>
      <c r="AWE68" s="59" t="s">
        <v>81</v>
      </c>
      <c r="AWF68" s="59" t="s">
        <v>64</v>
      </c>
      <c r="AWG68" s="59" t="s">
        <v>98</v>
      </c>
      <c r="AWH68" s="59" t="s">
        <v>124</v>
      </c>
      <c r="AWI68" s="59" t="s">
        <v>101</v>
      </c>
      <c r="AWJ68" s="56"/>
      <c r="AWK68" s="57"/>
      <c r="AWL68" s="57"/>
      <c r="AWM68" s="57"/>
      <c r="AWN68" s="57"/>
      <c r="AWO68" s="57"/>
      <c r="AWP68" s="57"/>
      <c r="AWQ68" s="59" t="s">
        <v>77</v>
      </c>
      <c r="AWR68" s="59" t="s">
        <v>78</v>
      </c>
      <c r="AWS68" s="59" t="s">
        <v>79</v>
      </c>
      <c r="AWT68" s="59" t="s">
        <v>80</v>
      </c>
      <c r="AWU68" s="59" t="s">
        <v>81</v>
      </c>
      <c r="AWV68" s="59" t="s">
        <v>64</v>
      </c>
      <c r="AWW68" s="59" t="s">
        <v>98</v>
      </c>
      <c r="AWX68" s="59" t="s">
        <v>124</v>
      </c>
      <c r="AWY68" s="59" t="s">
        <v>101</v>
      </c>
      <c r="AWZ68" s="56"/>
      <c r="AXA68" s="57"/>
      <c r="AXB68" s="57"/>
      <c r="AXC68" s="57"/>
      <c r="AXD68" s="57"/>
      <c r="AXE68" s="57"/>
      <c r="AXF68" s="57"/>
      <c r="AXG68" s="59" t="s">
        <v>77</v>
      </c>
      <c r="AXH68" s="59" t="s">
        <v>78</v>
      </c>
      <c r="AXI68" s="59" t="s">
        <v>79</v>
      </c>
      <c r="AXJ68" s="59" t="s">
        <v>80</v>
      </c>
      <c r="AXK68" s="59" t="s">
        <v>81</v>
      </c>
      <c r="AXL68" s="59" t="s">
        <v>64</v>
      </c>
      <c r="AXM68" s="59" t="s">
        <v>98</v>
      </c>
      <c r="AXN68" s="59" t="s">
        <v>124</v>
      </c>
      <c r="AXO68" s="59" t="s">
        <v>101</v>
      </c>
      <c r="AXP68" s="56"/>
      <c r="AXQ68" s="57"/>
      <c r="AXR68" s="57"/>
      <c r="AXS68" s="57"/>
      <c r="AXT68" s="57"/>
      <c r="AXU68" s="57"/>
      <c r="AXV68" s="57"/>
      <c r="AXW68" s="59" t="s">
        <v>77</v>
      </c>
      <c r="AXX68" s="59" t="s">
        <v>78</v>
      </c>
      <c r="AXY68" s="59" t="s">
        <v>79</v>
      </c>
      <c r="AXZ68" s="59" t="s">
        <v>80</v>
      </c>
      <c r="AYA68" s="59" t="s">
        <v>81</v>
      </c>
      <c r="AYB68" s="59" t="s">
        <v>64</v>
      </c>
      <c r="AYC68" s="59" t="s">
        <v>98</v>
      </c>
      <c r="AYD68" s="59" t="s">
        <v>124</v>
      </c>
      <c r="AYE68" s="59" t="s">
        <v>101</v>
      </c>
      <c r="AYF68" s="56"/>
      <c r="AYG68" s="57"/>
      <c r="AYH68" s="57"/>
      <c r="AYI68" s="57"/>
      <c r="AYJ68" s="57"/>
      <c r="AYK68" s="57"/>
      <c r="AYL68" s="57"/>
      <c r="AYM68" s="59" t="s">
        <v>77</v>
      </c>
      <c r="AYN68" s="59" t="s">
        <v>78</v>
      </c>
      <c r="AYO68" s="59" t="s">
        <v>79</v>
      </c>
      <c r="AYP68" s="59" t="s">
        <v>80</v>
      </c>
      <c r="AYQ68" s="59" t="s">
        <v>81</v>
      </c>
      <c r="AYR68" s="59" t="s">
        <v>64</v>
      </c>
      <c r="AYS68" s="59" t="s">
        <v>98</v>
      </c>
      <c r="AYT68" s="59" t="s">
        <v>124</v>
      </c>
      <c r="AYU68" s="59" t="s">
        <v>101</v>
      </c>
      <c r="AYV68" s="56"/>
      <c r="AYW68" s="57"/>
      <c r="AYX68" s="57"/>
      <c r="AYY68" s="57"/>
      <c r="AYZ68" s="57"/>
      <c r="AZA68" s="57"/>
      <c r="AZB68" s="57"/>
      <c r="AZC68" s="59" t="s">
        <v>77</v>
      </c>
      <c r="AZD68" s="59" t="s">
        <v>78</v>
      </c>
      <c r="AZE68" s="59" t="s">
        <v>79</v>
      </c>
      <c r="AZF68" s="59" t="s">
        <v>80</v>
      </c>
      <c r="AZG68" s="59" t="s">
        <v>81</v>
      </c>
      <c r="AZH68" s="59" t="s">
        <v>64</v>
      </c>
      <c r="AZI68" s="59" t="s">
        <v>98</v>
      </c>
      <c r="AZJ68" s="59" t="s">
        <v>124</v>
      </c>
      <c r="AZK68" s="59" t="s">
        <v>101</v>
      </c>
      <c r="AZL68" s="56"/>
      <c r="AZM68" s="57"/>
      <c r="AZN68" s="57"/>
      <c r="AZO68" s="57"/>
      <c r="AZP68" s="57"/>
      <c r="AZQ68" s="57"/>
      <c r="AZR68" s="57"/>
      <c r="AZS68" s="59" t="s">
        <v>77</v>
      </c>
      <c r="AZT68" s="59" t="s">
        <v>78</v>
      </c>
      <c r="AZU68" s="59" t="s">
        <v>79</v>
      </c>
      <c r="AZV68" s="59" t="s">
        <v>80</v>
      </c>
      <c r="AZW68" s="59" t="s">
        <v>81</v>
      </c>
      <c r="AZX68" s="59" t="s">
        <v>64</v>
      </c>
      <c r="AZY68" s="59" t="s">
        <v>98</v>
      </c>
      <c r="AZZ68" s="59" t="s">
        <v>124</v>
      </c>
      <c r="BAA68" s="59" t="s">
        <v>101</v>
      </c>
      <c r="BAB68" s="56"/>
      <c r="BAC68" s="57"/>
      <c r="BAD68" s="57"/>
      <c r="BAE68" s="57"/>
      <c r="BAF68" s="57"/>
      <c r="BAG68" s="57"/>
      <c r="BAH68" s="57"/>
      <c r="BAI68" s="59" t="s">
        <v>77</v>
      </c>
      <c r="BAJ68" s="59" t="s">
        <v>78</v>
      </c>
      <c r="BAK68" s="59" t="s">
        <v>79</v>
      </c>
      <c r="BAL68" s="59" t="s">
        <v>80</v>
      </c>
      <c r="BAM68" s="59" t="s">
        <v>81</v>
      </c>
      <c r="BAN68" s="59" t="s">
        <v>64</v>
      </c>
      <c r="BAO68" s="59" t="s">
        <v>98</v>
      </c>
      <c r="BAP68" s="59" t="s">
        <v>124</v>
      </c>
      <c r="BAQ68" s="59" t="s">
        <v>101</v>
      </c>
      <c r="BAR68" s="56"/>
      <c r="BAS68" s="57"/>
      <c r="BAT68" s="57"/>
      <c r="BAU68" s="57"/>
      <c r="BAV68" s="57"/>
      <c r="BAW68" s="57"/>
      <c r="BAX68" s="57"/>
      <c r="BAY68" s="59" t="s">
        <v>77</v>
      </c>
      <c r="BAZ68" s="59" t="s">
        <v>78</v>
      </c>
      <c r="BBA68" s="59" t="s">
        <v>79</v>
      </c>
      <c r="BBB68" s="59" t="s">
        <v>80</v>
      </c>
      <c r="BBC68" s="59" t="s">
        <v>81</v>
      </c>
      <c r="BBD68" s="59" t="s">
        <v>64</v>
      </c>
      <c r="BBE68" s="59" t="s">
        <v>98</v>
      </c>
      <c r="BBF68" s="59" t="s">
        <v>124</v>
      </c>
      <c r="BBG68" s="59" t="s">
        <v>101</v>
      </c>
      <c r="BBH68" s="56"/>
      <c r="BBI68" s="57"/>
      <c r="BBJ68" s="57"/>
      <c r="BBK68" s="57"/>
      <c r="BBL68" s="57"/>
      <c r="BBM68" s="57"/>
      <c r="BBN68" s="57"/>
      <c r="BBO68" s="59" t="s">
        <v>77</v>
      </c>
      <c r="BBP68" s="59" t="s">
        <v>78</v>
      </c>
      <c r="BBQ68" s="59" t="s">
        <v>79</v>
      </c>
      <c r="BBR68" s="59" t="s">
        <v>80</v>
      </c>
      <c r="BBS68" s="59" t="s">
        <v>81</v>
      </c>
      <c r="BBT68" s="59" t="s">
        <v>64</v>
      </c>
      <c r="BBU68" s="59" t="s">
        <v>98</v>
      </c>
      <c r="BBV68" s="59" t="s">
        <v>124</v>
      </c>
      <c r="BBW68" s="59" t="s">
        <v>101</v>
      </c>
      <c r="BBX68" s="56"/>
      <c r="BBY68" s="57"/>
      <c r="BBZ68" s="57"/>
      <c r="BCA68" s="57"/>
      <c r="BCB68" s="57"/>
      <c r="BCC68" s="57"/>
      <c r="BCD68" s="57"/>
      <c r="BCE68" s="59" t="s">
        <v>77</v>
      </c>
      <c r="BCF68" s="59" t="s">
        <v>78</v>
      </c>
      <c r="BCG68" s="59" t="s">
        <v>79</v>
      </c>
      <c r="BCH68" s="59" t="s">
        <v>80</v>
      </c>
      <c r="BCI68" s="59" t="s">
        <v>81</v>
      </c>
      <c r="BCJ68" s="59" t="s">
        <v>64</v>
      </c>
      <c r="BCK68" s="59" t="s">
        <v>98</v>
      </c>
      <c r="BCL68" s="59" t="s">
        <v>124</v>
      </c>
      <c r="BCM68" s="59" t="s">
        <v>101</v>
      </c>
      <c r="BCN68" s="56"/>
      <c r="BCO68" s="57"/>
      <c r="BCP68" s="57"/>
      <c r="BCQ68" s="57"/>
      <c r="BCR68" s="57"/>
      <c r="BCS68" s="57"/>
      <c r="BCT68" s="57"/>
      <c r="BCU68" s="59" t="s">
        <v>77</v>
      </c>
      <c r="BCV68" s="59" t="s">
        <v>78</v>
      </c>
      <c r="BCW68" s="59" t="s">
        <v>79</v>
      </c>
      <c r="BCX68" s="59" t="s">
        <v>80</v>
      </c>
      <c r="BCY68" s="59" t="s">
        <v>81</v>
      </c>
      <c r="BCZ68" s="59" t="s">
        <v>64</v>
      </c>
      <c r="BDA68" s="59" t="s">
        <v>98</v>
      </c>
      <c r="BDB68" s="59" t="s">
        <v>124</v>
      </c>
      <c r="BDC68" s="59" t="s">
        <v>101</v>
      </c>
      <c r="BDD68" s="56"/>
      <c r="BDE68" s="57"/>
      <c r="BDF68" s="57"/>
      <c r="BDG68" s="57"/>
      <c r="BDH68" s="57"/>
      <c r="BDI68" s="57"/>
      <c r="BDJ68" s="57"/>
      <c r="BDK68" s="59" t="s">
        <v>77</v>
      </c>
      <c r="BDL68" s="59" t="s">
        <v>78</v>
      </c>
      <c r="BDM68" s="59" t="s">
        <v>79</v>
      </c>
      <c r="BDN68" s="59" t="s">
        <v>80</v>
      </c>
      <c r="BDO68" s="59" t="s">
        <v>81</v>
      </c>
      <c r="BDP68" s="59" t="s">
        <v>64</v>
      </c>
      <c r="BDQ68" s="59" t="s">
        <v>98</v>
      </c>
      <c r="BDR68" s="59" t="s">
        <v>124</v>
      </c>
      <c r="BDS68" s="59" t="s">
        <v>101</v>
      </c>
      <c r="BDT68" s="56"/>
      <c r="BDU68" s="57"/>
      <c r="BDV68" s="57"/>
      <c r="BDW68" s="57"/>
      <c r="BDX68" s="57"/>
      <c r="BDY68" s="57"/>
      <c r="BDZ68" s="57"/>
      <c r="BEA68" s="59" t="s">
        <v>77</v>
      </c>
      <c r="BEB68" s="59" t="s">
        <v>78</v>
      </c>
      <c r="BEC68" s="59" t="s">
        <v>79</v>
      </c>
      <c r="BED68" s="59" t="s">
        <v>80</v>
      </c>
      <c r="BEE68" s="59" t="s">
        <v>81</v>
      </c>
      <c r="BEF68" s="59" t="s">
        <v>64</v>
      </c>
      <c r="BEG68" s="59" t="s">
        <v>98</v>
      </c>
      <c r="BEH68" s="59" t="s">
        <v>124</v>
      </c>
      <c r="BEI68" s="59" t="s">
        <v>101</v>
      </c>
      <c r="BEJ68" s="56"/>
      <c r="BEK68" s="57"/>
      <c r="BEL68" s="57"/>
      <c r="BEM68" s="57"/>
      <c r="BEN68" s="57"/>
      <c r="BEO68" s="57"/>
      <c r="BEP68" s="57"/>
      <c r="BEQ68" s="59" t="s">
        <v>77</v>
      </c>
      <c r="BER68" s="59" t="s">
        <v>78</v>
      </c>
      <c r="BES68" s="59" t="s">
        <v>79</v>
      </c>
      <c r="BET68" s="59" t="s">
        <v>80</v>
      </c>
      <c r="BEU68" s="59" t="s">
        <v>81</v>
      </c>
      <c r="BEV68" s="59" t="s">
        <v>64</v>
      </c>
      <c r="BEW68" s="59" t="s">
        <v>98</v>
      </c>
      <c r="BEX68" s="59" t="s">
        <v>124</v>
      </c>
      <c r="BEY68" s="59" t="s">
        <v>101</v>
      </c>
      <c r="BEZ68" s="56"/>
      <c r="BFA68" s="57"/>
      <c r="BFB68" s="57"/>
      <c r="BFC68" s="57"/>
      <c r="BFD68" s="57"/>
      <c r="BFE68" s="57"/>
      <c r="BFF68" s="57"/>
      <c r="BFG68" s="59" t="s">
        <v>77</v>
      </c>
      <c r="BFH68" s="59" t="s">
        <v>78</v>
      </c>
      <c r="BFI68" s="59" t="s">
        <v>79</v>
      </c>
      <c r="BFJ68" s="59" t="s">
        <v>80</v>
      </c>
      <c r="BFK68" s="59" t="s">
        <v>81</v>
      </c>
      <c r="BFL68" s="59" t="s">
        <v>64</v>
      </c>
      <c r="BFM68" s="59" t="s">
        <v>98</v>
      </c>
      <c r="BFN68" s="59" t="s">
        <v>124</v>
      </c>
      <c r="BFO68" s="59" t="s">
        <v>101</v>
      </c>
      <c r="BFP68" s="56"/>
      <c r="BFQ68" s="57"/>
      <c r="BFR68" s="57"/>
      <c r="BFS68" s="57"/>
      <c r="BFT68" s="57"/>
      <c r="BFU68" s="57"/>
      <c r="BFV68" s="57"/>
      <c r="BFW68" s="59" t="s">
        <v>77</v>
      </c>
      <c r="BFX68" s="59" t="s">
        <v>78</v>
      </c>
      <c r="BFY68" s="59" t="s">
        <v>79</v>
      </c>
      <c r="BFZ68" s="59" t="s">
        <v>80</v>
      </c>
      <c r="BGA68" s="59" t="s">
        <v>81</v>
      </c>
      <c r="BGB68" s="59" t="s">
        <v>64</v>
      </c>
      <c r="BGC68" s="59" t="s">
        <v>98</v>
      </c>
      <c r="BGD68" s="59" t="s">
        <v>124</v>
      </c>
      <c r="BGE68" s="59" t="s">
        <v>101</v>
      </c>
      <c r="BGF68" s="56"/>
      <c r="BGG68" s="57"/>
      <c r="BGH68" s="57"/>
      <c r="BGI68" s="57"/>
      <c r="BGJ68" s="57"/>
      <c r="BGK68" s="57"/>
      <c r="BGL68" s="57"/>
      <c r="BGM68" s="59" t="s">
        <v>77</v>
      </c>
      <c r="BGN68" s="59" t="s">
        <v>78</v>
      </c>
      <c r="BGO68" s="59" t="s">
        <v>79</v>
      </c>
      <c r="BGP68" s="59" t="s">
        <v>80</v>
      </c>
      <c r="BGQ68" s="59" t="s">
        <v>81</v>
      </c>
      <c r="BGR68" s="59" t="s">
        <v>64</v>
      </c>
      <c r="BGS68" s="59" t="s">
        <v>98</v>
      </c>
      <c r="BGT68" s="59" t="s">
        <v>124</v>
      </c>
      <c r="BGU68" s="59" t="s">
        <v>101</v>
      </c>
      <c r="BGV68" s="56"/>
      <c r="BGW68" s="57"/>
      <c r="BGX68" s="57"/>
      <c r="BGY68" s="57"/>
      <c r="BGZ68" s="57"/>
      <c r="BHA68" s="57"/>
      <c r="BHB68" s="57"/>
      <c r="BHC68" s="59" t="s">
        <v>77</v>
      </c>
      <c r="BHD68" s="59" t="s">
        <v>78</v>
      </c>
      <c r="BHE68" s="59" t="s">
        <v>79</v>
      </c>
      <c r="BHF68" s="59" t="s">
        <v>80</v>
      </c>
      <c r="BHG68" s="59" t="s">
        <v>81</v>
      </c>
      <c r="BHH68" s="59" t="s">
        <v>64</v>
      </c>
      <c r="BHI68" s="59" t="s">
        <v>98</v>
      </c>
      <c r="BHJ68" s="59" t="s">
        <v>124</v>
      </c>
      <c r="BHK68" s="59" t="s">
        <v>101</v>
      </c>
      <c r="BHL68" s="56"/>
      <c r="BHM68" s="57"/>
      <c r="BHN68" s="57"/>
      <c r="BHO68" s="57"/>
      <c r="BHP68" s="57"/>
      <c r="BHQ68" s="57"/>
      <c r="BHR68" s="57"/>
      <c r="BHS68" s="59" t="s">
        <v>77</v>
      </c>
      <c r="BHT68" s="59" t="s">
        <v>78</v>
      </c>
      <c r="BHU68" s="59" t="s">
        <v>79</v>
      </c>
      <c r="BHV68" s="59" t="s">
        <v>80</v>
      </c>
      <c r="BHW68" s="59" t="s">
        <v>81</v>
      </c>
      <c r="BHX68" s="59" t="s">
        <v>64</v>
      </c>
      <c r="BHY68" s="59" t="s">
        <v>98</v>
      </c>
      <c r="BHZ68" s="59" t="s">
        <v>124</v>
      </c>
      <c r="BIA68" s="59" t="s">
        <v>101</v>
      </c>
      <c r="BIB68" s="56"/>
      <c r="BIC68" s="57"/>
      <c r="BID68" s="57"/>
      <c r="BIE68" s="57"/>
      <c r="BIF68" s="57"/>
      <c r="BIG68" s="57"/>
      <c r="BIH68" s="57"/>
      <c r="BII68" s="59" t="s">
        <v>77</v>
      </c>
      <c r="BIJ68" s="59" t="s">
        <v>78</v>
      </c>
      <c r="BIK68" s="59" t="s">
        <v>79</v>
      </c>
      <c r="BIL68" s="59" t="s">
        <v>80</v>
      </c>
      <c r="BIM68" s="59" t="s">
        <v>81</v>
      </c>
      <c r="BIN68" s="59" t="s">
        <v>64</v>
      </c>
      <c r="BIO68" s="59" t="s">
        <v>98</v>
      </c>
      <c r="BIP68" s="59" t="s">
        <v>124</v>
      </c>
      <c r="BIQ68" s="59" t="s">
        <v>101</v>
      </c>
      <c r="BIR68" s="56"/>
      <c r="BIS68" s="57"/>
      <c r="BIT68" s="57"/>
      <c r="BIU68" s="57"/>
      <c r="BIV68" s="57"/>
      <c r="BIW68" s="57"/>
      <c r="BIX68" s="57"/>
      <c r="BIY68" s="59" t="s">
        <v>77</v>
      </c>
      <c r="BIZ68" s="59" t="s">
        <v>78</v>
      </c>
      <c r="BJA68" s="59" t="s">
        <v>79</v>
      </c>
      <c r="BJB68" s="59" t="s">
        <v>80</v>
      </c>
      <c r="BJC68" s="59" t="s">
        <v>81</v>
      </c>
      <c r="BJD68" s="59" t="s">
        <v>64</v>
      </c>
      <c r="BJE68" s="59" t="s">
        <v>98</v>
      </c>
      <c r="BJF68" s="59" t="s">
        <v>124</v>
      </c>
      <c r="BJG68" s="59" t="s">
        <v>101</v>
      </c>
      <c r="BJH68" s="56"/>
      <c r="BJI68" s="57"/>
      <c r="BJJ68" s="57"/>
      <c r="BJK68" s="57"/>
      <c r="BJL68" s="57"/>
      <c r="BJM68" s="57"/>
      <c r="BJN68" s="57"/>
      <c r="BJO68" s="59" t="s">
        <v>77</v>
      </c>
      <c r="BJP68" s="59" t="s">
        <v>78</v>
      </c>
      <c r="BJQ68" s="59" t="s">
        <v>79</v>
      </c>
      <c r="BJR68" s="59" t="s">
        <v>80</v>
      </c>
      <c r="BJS68" s="59" t="s">
        <v>81</v>
      </c>
      <c r="BJT68" s="59" t="s">
        <v>64</v>
      </c>
      <c r="BJU68" s="59" t="s">
        <v>98</v>
      </c>
      <c r="BJV68" s="59" t="s">
        <v>124</v>
      </c>
      <c r="BJW68" s="59" t="s">
        <v>101</v>
      </c>
      <c r="BJX68" s="56"/>
      <c r="BJY68" s="57"/>
      <c r="BJZ68" s="57"/>
      <c r="BKA68" s="57"/>
      <c r="BKB68" s="57"/>
      <c r="BKC68" s="57"/>
      <c r="BKD68" s="57"/>
      <c r="BKE68" s="59" t="s">
        <v>77</v>
      </c>
      <c r="BKF68" s="59" t="s">
        <v>78</v>
      </c>
      <c r="BKG68" s="59" t="s">
        <v>79</v>
      </c>
      <c r="BKH68" s="59" t="s">
        <v>80</v>
      </c>
      <c r="BKI68" s="59" t="s">
        <v>81</v>
      </c>
      <c r="BKJ68" s="59" t="s">
        <v>64</v>
      </c>
      <c r="BKK68" s="59" t="s">
        <v>98</v>
      </c>
      <c r="BKL68" s="59" t="s">
        <v>124</v>
      </c>
      <c r="BKM68" s="59" t="s">
        <v>101</v>
      </c>
      <c r="BKN68" s="56"/>
      <c r="BKO68" s="57"/>
      <c r="BKP68" s="57"/>
      <c r="BKQ68" s="57"/>
      <c r="BKR68" s="57"/>
      <c r="BKS68" s="57"/>
      <c r="BKT68" s="57"/>
      <c r="BKU68" s="59" t="s">
        <v>77</v>
      </c>
      <c r="BKV68" s="59" t="s">
        <v>78</v>
      </c>
      <c r="BKW68" s="59" t="s">
        <v>79</v>
      </c>
      <c r="BKX68" s="59" t="s">
        <v>80</v>
      </c>
      <c r="BKY68" s="59" t="s">
        <v>81</v>
      </c>
      <c r="BKZ68" s="59" t="s">
        <v>64</v>
      </c>
      <c r="BLA68" s="59" t="s">
        <v>98</v>
      </c>
      <c r="BLB68" s="59" t="s">
        <v>124</v>
      </c>
      <c r="BLC68" s="59" t="s">
        <v>101</v>
      </c>
      <c r="BLD68" s="56"/>
      <c r="BLE68" s="57"/>
      <c r="BLF68" s="57"/>
      <c r="BLG68" s="57"/>
      <c r="BLH68" s="57"/>
      <c r="BLI68" s="57"/>
      <c r="BLJ68" s="57"/>
      <c r="BLK68" s="59" t="s">
        <v>77</v>
      </c>
      <c r="BLL68" s="59" t="s">
        <v>78</v>
      </c>
      <c r="BLM68" s="59" t="s">
        <v>79</v>
      </c>
      <c r="BLN68" s="59" t="s">
        <v>80</v>
      </c>
      <c r="BLO68" s="59" t="s">
        <v>81</v>
      </c>
      <c r="BLP68" s="59" t="s">
        <v>64</v>
      </c>
      <c r="BLQ68" s="59" t="s">
        <v>98</v>
      </c>
      <c r="BLR68" s="59" t="s">
        <v>124</v>
      </c>
      <c r="BLS68" s="59" t="s">
        <v>101</v>
      </c>
      <c r="BLT68" s="56"/>
      <c r="BLU68" s="57"/>
      <c r="BLV68" s="57"/>
      <c r="BLW68" s="57"/>
      <c r="BLX68" s="57"/>
      <c r="BLY68" s="57"/>
      <c r="BLZ68" s="57"/>
      <c r="BMA68" s="59" t="s">
        <v>77</v>
      </c>
      <c r="BMB68" s="59" t="s">
        <v>78</v>
      </c>
      <c r="BMC68" s="59" t="s">
        <v>79</v>
      </c>
      <c r="BMD68" s="59" t="s">
        <v>80</v>
      </c>
      <c r="BME68" s="59" t="s">
        <v>81</v>
      </c>
      <c r="BMF68" s="59" t="s">
        <v>64</v>
      </c>
      <c r="BMG68" s="59" t="s">
        <v>98</v>
      </c>
      <c r="BMH68" s="59" t="s">
        <v>124</v>
      </c>
      <c r="BMI68" s="59" t="s">
        <v>101</v>
      </c>
      <c r="BMJ68" s="56"/>
      <c r="BMK68" s="57"/>
      <c r="BML68" s="57"/>
      <c r="BMM68" s="57"/>
      <c r="BMN68" s="57"/>
      <c r="BMO68" s="57"/>
      <c r="BMP68" s="57"/>
      <c r="BMQ68" s="59" t="s">
        <v>77</v>
      </c>
      <c r="BMR68" s="59" t="s">
        <v>78</v>
      </c>
      <c r="BMS68" s="59" t="s">
        <v>79</v>
      </c>
      <c r="BMT68" s="59" t="s">
        <v>80</v>
      </c>
      <c r="BMU68" s="59" t="s">
        <v>81</v>
      </c>
      <c r="BMV68" s="59" t="s">
        <v>64</v>
      </c>
      <c r="BMW68" s="59" t="s">
        <v>98</v>
      </c>
      <c r="BMX68" s="59" t="s">
        <v>124</v>
      </c>
      <c r="BMY68" s="59" t="s">
        <v>101</v>
      </c>
      <c r="BMZ68" s="56"/>
      <c r="BNA68" s="57"/>
      <c r="BNB68" s="57"/>
      <c r="BNC68" s="57"/>
      <c r="BND68" s="57"/>
      <c r="BNE68" s="57"/>
      <c r="BNF68" s="57"/>
      <c r="BNG68" s="59" t="s">
        <v>77</v>
      </c>
      <c r="BNH68" s="59" t="s">
        <v>78</v>
      </c>
      <c r="BNI68" s="59" t="s">
        <v>79</v>
      </c>
      <c r="BNJ68" s="59" t="s">
        <v>80</v>
      </c>
      <c r="BNK68" s="59" t="s">
        <v>81</v>
      </c>
      <c r="BNL68" s="59" t="s">
        <v>64</v>
      </c>
      <c r="BNM68" s="59" t="s">
        <v>98</v>
      </c>
      <c r="BNN68" s="59" t="s">
        <v>124</v>
      </c>
      <c r="BNO68" s="59" t="s">
        <v>101</v>
      </c>
      <c r="BNP68" s="56"/>
      <c r="BNQ68" s="57"/>
      <c r="BNR68" s="57"/>
      <c r="BNS68" s="57"/>
      <c r="BNT68" s="57"/>
      <c r="BNU68" s="57"/>
      <c r="BNV68" s="57"/>
      <c r="BNW68" s="59" t="s">
        <v>77</v>
      </c>
      <c r="BNX68" s="59" t="s">
        <v>78</v>
      </c>
      <c r="BNY68" s="59" t="s">
        <v>79</v>
      </c>
      <c r="BNZ68" s="59" t="s">
        <v>80</v>
      </c>
      <c r="BOA68" s="59" t="s">
        <v>81</v>
      </c>
      <c r="BOB68" s="59" t="s">
        <v>64</v>
      </c>
      <c r="BOC68" s="59" t="s">
        <v>98</v>
      </c>
      <c r="BOD68" s="59" t="s">
        <v>124</v>
      </c>
      <c r="BOE68" s="59" t="s">
        <v>101</v>
      </c>
      <c r="BOF68" s="56"/>
      <c r="BOG68" s="57"/>
      <c r="BOH68" s="57"/>
      <c r="BOI68" s="57"/>
      <c r="BOJ68" s="57"/>
      <c r="BOK68" s="57"/>
      <c r="BOL68" s="57"/>
      <c r="BOM68" s="59" t="s">
        <v>77</v>
      </c>
      <c r="BON68" s="59" t="s">
        <v>78</v>
      </c>
      <c r="BOO68" s="59" t="s">
        <v>79</v>
      </c>
      <c r="BOP68" s="59" t="s">
        <v>80</v>
      </c>
      <c r="BOQ68" s="59" t="s">
        <v>81</v>
      </c>
      <c r="BOR68" s="59" t="s">
        <v>64</v>
      </c>
      <c r="BOS68" s="59" t="s">
        <v>98</v>
      </c>
      <c r="BOT68" s="59" t="s">
        <v>124</v>
      </c>
      <c r="BOU68" s="59" t="s">
        <v>101</v>
      </c>
      <c r="BOV68" s="56"/>
      <c r="BOW68" s="57"/>
      <c r="BOX68" s="57"/>
      <c r="BOY68" s="57"/>
      <c r="BOZ68" s="57"/>
      <c r="BPA68" s="57"/>
      <c r="BPB68" s="57"/>
      <c r="BPC68" s="59" t="s">
        <v>77</v>
      </c>
      <c r="BPD68" s="59" t="s">
        <v>78</v>
      </c>
      <c r="BPE68" s="59" t="s">
        <v>79</v>
      </c>
      <c r="BPF68" s="59" t="s">
        <v>80</v>
      </c>
      <c r="BPG68" s="59" t="s">
        <v>81</v>
      </c>
      <c r="BPH68" s="59" t="s">
        <v>64</v>
      </c>
      <c r="BPI68" s="59" t="s">
        <v>98</v>
      </c>
      <c r="BPJ68" s="59" t="s">
        <v>124</v>
      </c>
      <c r="BPK68" s="59" t="s">
        <v>101</v>
      </c>
      <c r="BPL68" s="56"/>
      <c r="BPM68" s="57"/>
      <c r="BPN68" s="57"/>
      <c r="BPO68" s="57"/>
      <c r="BPP68" s="57"/>
      <c r="BPQ68" s="57"/>
      <c r="BPR68" s="57"/>
      <c r="BPS68" s="59" t="s">
        <v>77</v>
      </c>
      <c r="BPT68" s="59" t="s">
        <v>78</v>
      </c>
      <c r="BPU68" s="59" t="s">
        <v>79</v>
      </c>
      <c r="BPV68" s="59" t="s">
        <v>80</v>
      </c>
      <c r="BPW68" s="59" t="s">
        <v>81</v>
      </c>
      <c r="BPX68" s="59" t="s">
        <v>64</v>
      </c>
      <c r="BPY68" s="59" t="s">
        <v>98</v>
      </c>
      <c r="BPZ68" s="59" t="s">
        <v>124</v>
      </c>
      <c r="BQA68" s="59" t="s">
        <v>101</v>
      </c>
      <c r="BQB68" s="56"/>
      <c r="BQC68" s="57"/>
      <c r="BQD68" s="57"/>
      <c r="BQE68" s="57"/>
      <c r="BQF68" s="57"/>
      <c r="BQG68" s="57"/>
      <c r="BQH68" s="57"/>
      <c r="BQI68" s="59" t="s">
        <v>77</v>
      </c>
      <c r="BQJ68" s="59" t="s">
        <v>78</v>
      </c>
      <c r="BQK68" s="59" t="s">
        <v>79</v>
      </c>
      <c r="BQL68" s="59" t="s">
        <v>80</v>
      </c>
      <c r="BQM68" s="59" t="s">
        <v>81</v>
      </c>
      <c r="BQN68" s="59" t="s">
        <v>64</v>
      </c>
      <c r="BQO68" s="59" t="s">
        <v>98</v>
      </c>
      <c r="BQP68" s="59" t="s">
        <v>124</v>
      </c>
      <c r="BQQ68" s="59" t="s">
        <v>101</v>
      </c>
      <c r="BQR68" s="56"/>
      <c r="BQS68" s="57"/>
      <c r="BQT68" s="57"/>
      <c r="BQU68" s="57"/>
      <c r="BQV68" s="57"/>
      <c r="BQW68" s="57"/>
      <c r="BQX68" s="57"/>
      <c r="BQY68" s="59" t="s">
        <v>77</v>
      </c>
      <c r="BQZ68" s="59" t="s">
        <v>78</v>
      </c>
      <c r="BRA68" s="59" t="s">
        <v>79</v>
      </c>
      <c r="BRB68" s="59" t="s">
        <v>80</v>
      </c>
      <c r="BRC68" s="59" t="s">
        <v>81</v>
      </c>
      <c r="BRD68" s="59" t="s">
        <v>64</v>
      </c>
      <c r="BRE68" s="59" t="s">
        <v>98</v>
      </c>
      <c r="BRF68" s="59" t="s">
        <v>124</v>
      </c>
      <c r="BRG68" s="59" t="s">
        <v>101</v>
      </c>
      <c r="BRH68" s="56"/>
      <c r="BRI68" s="57"/>
      <c r="BRJ68" s="57"/>
      <c r="BRK68" s="57"/>
      <c r="BRL68" s="57"/>
      <c r="BRM68" s="57"/>
      <c r="BRN68" s="57"/>
      <c r="BRO68" s="59" t="s">
        <v>77</v>
      </c>
      <c r="BRP68" s="59" t="s">
        <v>78</v>
      </c>
      <c r="BRQ68" s="59" t="s">
        <v>79</v>
      </c>
      <c r="BRR68" s="59" t="s">
        <v>80</v>
      </c>
      <c r="BRS68" s="59" t="s">
        <v>81</v>
      </c>
      <c r="BRT68" s="59" t="s">
        <v>64</v>
      </c>
      <c r="BRU68" s="59" t="s">
        <v>98</v>
      </c>
      <c r="BRV68" s="59" t="s">
        <v>124</v>
      </c>
      <c r="BRW68" s="59" t="s">
        <v>101</v>
      </c>
      <c r="BRX68" s="56"/>
      <c r="BRY68" s="57"/>
      <c r="BRZ68" s="57"/>
      <c r="BSA68" s="57"/>
      <c r="BSB68" s="57"/>
      <c r="BSC68" s="57"/>
      <c r="BSD68" s="57"/>
      <c r="BSE68" s="59" t="s">
        <v>77</v>
      </c>
      <c r="BSF68" s="59" t="s">
        <v>78</v>
      </c>
      <c r="BSG68" s="59" t="s">
        <v>79</v>
      </c>
      <c r="BSH68" s="59" t="s">
        <v>80</v>
      </c>
      <c r="BSI68" s="59" t="s">
        <v>81</v>
      </c>
      <c r="BSJ68" s="59" t="s">
        <v>64</v>
      </c>
      <c r="BSK68" s="59" t="s">
        <v>98</v>
      </c>
      <c r="BSL68" s="59" t="s">
        <v>124</v>
      </c>
      <c r="BSM68" s="59" t="s">
        <v>101</v>
      </c>
      <c r="BSN68" s="56"/>
      <c r="BSO68" s="57"/>
      <c r="BSP68" s="57"/>
      <c r="BSQ68" s="57"/>
      <c r="BSR68" s="57"/>
      <c r="BSS68" s="57"/>
      <c r="BST68" s="57"/>
      <c r="BSU68" s="59" t="s">
        <v>77</v>
      </c>
      <c r="BSV68" s="59" t="s">
        <v>78</v>
      </c>
      <c r="BSW68" s="59" t="s">
        <v>79</v>
      </c>
      <c r="BSX68" s="59" t="s">
        <v>80</v>
      </c>
      <c r="BSY68" s="59" t="s">
        <v>81</v>
      </c>
      <c r="BSZ68" s="59" t="s">
        <v>64</v>
      </c>
      <c r="BTA68" s="59" t="s">
        <v>98</v>
      </c>
      <c r="BTB68" s="59" t="s">
        <v>124</v>
      </c>
      <c r="BTC68" s="59" t="s">
        <v>101</v>
      </c>
      <c r="BTD68" s="56"/>
      <c r="BTE68" s="57"/>
      <c r="BTF68" s="57"/>
      <c r="BTG68" s="57"/>
      <c r="BTH68" s="57"/>
      <c r="BTI68" s="57"/>
      <c r="BTJ68" s="57"/>
      <c r="BTK68" s="59" t="s">
        <v>77</v>
      </c>
      <c r="BTL68" s="59" t="s">
        <v>78</v>
      </c>
      <c r="BTM68" s="59" t="s">
        <v>79</v>
      </c>
      <c r="BTN68" s="59" t="s">
        <v>80</v>
      </c>
      <c r="BTO68" s="59" t="s">
        <v>81</v>
      </c>
      <c r="BTP68" s="59" t="s">
        <v>64</v>
      </c>
      <c r="BTQ68" s="59" t="s">
        <v>98</v>
      </c>
      <c r="BTR68" s="59" t="s">
        <v>124</v>
      </c>
      <c r="BTS68" s="59" t="s">
        <v>101</v>
      </c>
      <c r="BTT68" s="56"/>
      <c r="BTU68" s="57"/>
      <c r="BTV68" s="57"/>
      <c r="BTW68" s="57"/>
      <c r="BTX68" s="57"/>
      <c r="BTY68" s="57"/>
      <c r="BTZ68" s="57"/>
      <c r="BUA68" s="59" t="s">
        <v>77</v>
      </c>
      <c r="BUB68" s="59" t="s">
        <v>78</v>
      </c>
      <c r="BUC68" s="59" t="s">
        <v>79</v>
      </c>
      <c r="BUD68" s="59" t="s">
        <v>80</v>
      </c>
      <c r="BUE68" s="59" t="s">
        <v>81</v>
      </c>
      <c r="BUF68" s="59" t="s">
        <v>64</v>
      </c>
      <c r="BUG68" s="59" t="s">
        <v>98</v>
      </c>
      <c r="BUH68" s="59" t="s">
        <v>124</v>
      </c>
      <c r="BUI68" s="59" t="s">
        <v>101</v>
      </c>
      <c r="BUJ68" s="56"/>
      <c r="BUK68" s="57"/>
      <c r="BUL68" s="57"/>
      <c r="BUM68" s="57"/>
      <c r="BUN68" s="57"/>
      <c r="BUO68" s="57"/>
      <c r="BUP68" s="57"/>
      <c r="BUQ68" s="59" t="s">
        <v>77</v>
      </c>
      <c r="BUR68" s="59" t="s">
        <v>78</v>
      </c>
      <c r="BUS68" s="59" t="s">
        <v>79</v>
      </c>
      <c r="BUT68" s="59" t="s">
        <v>80</v>
      </c>
      <c r="BUU68" s="59" t="s">
        <v>81</v>
      </c>
      <c r="BUV68" s="59" t="s">
        <v>64</v>
      </c>
      <c r="BUW68" s="59" t="s">
        <v>98</v>
      </c>
      <c r="BUX68" s="59" t="s">
        <v>124</v>
      </c>
      <c r="BUY68" s="59" t="s">
        <v>101</v>
      </c>
      <c r="BUZ68" s="56"/>
      <c r="BVA68" s="57"/>
      <c r="BVB68" s="57"/>
      <c r="BVC68" s="57"/>
      <c r="BVD68" s="57"/>
      <c r="BVE68" s="57"/>
      <c r="BVF68" s="57"/>
      <c r="BVG68" s="59" t="s">
        <v>77</v>
      </c>
      <c r="BVH68" s="59" t="s">
        <v>78</v>
      </c>
      <c r="BVI68" s="59" t="s">
        <v>79</v>
      </c>
      <c r="BVJ68" s="59" t="s">
        <v>80</v>
      </c>
      <c r="BVK68" s="59" t="s">
        <v>81</v>
      </c>
      <c r="BVL68" s="59" t="s">
        <v>64</v>
      </c>
      <c r="BVM68" s="59" t="s">
        <v>98</v>
      </c>
      <c r="BVN68" s="59" t="s">
        <v>124</v>
      </c>
      <c r="BVO68" s="59" t="s">
        <v>101</v>
      </c>
      <c r="BVP68" s="56"/>
      <c r="BVQ68" s="57"/>
      <c r="BVR68" s="57"/>
      <c r="BVS68" s="57"/>
      <c r="BVT68" s="57"/>
      <c r="BVU68" s="57"/>
      <c r="BVV68" s="57"/>
      <c r="BVW68" s="59" t="s">
        <v>77</v>
      </c>
      <c r="BVX68" s="59" t="s">
        <v>78</v>
      </c>
      <c r="BVY68" s="59" t="s">
        <v>79</v>
      </c>
      <c r="BVZ68" s="59" t="s">
        <v>80</v>
      </c>
      <c r="BWA68" s="59" t="s">
        <v>81</v>
      </c>
      <c r="BWB68" s="59" t="s">
        <v>64</v>
      </c>
      <c r="BWC68" s="59" t="s">
        <v>98</v>
      </c>
      <c r="BWD68" s="59" t="s">
        <v>124</v>
      </c>
      <c r="BWE68" s="59" t="s">
        <v>101</v>
      </c>
      <c r="BWF68" s="56"/>
      <c r="BWG68" s="57"/>
      <c r="BWH68" s="57"/>
      <c r="BWI68" s="57"/>
      <c r="BWJ68" s="57"/>
      <c r="BWK68" s="57"/>
      <c r="BWL68" s="57"/>
      <c r="BWM68" s="59" t="s">
        <v>77</v>
      </c>
      <c r="BWN68" s="59" t="s">
        <v>78</v>
      </c>
      <c r="BWO68" s="59" t="s">
        <v>79</v>
      </c>
      <c r="BWP68" s="59" t="s">
        <v>80</v>
      </c>
      <c r="BWQ68" s="59" t="s">
        <v>81</v>
      </c>
      <c r="BWR68" s="59" t="s">
        <v>64</v>
      </c>
      <c r="BWS68" s="59" t="s">
        <v>98</v>
      </c>
      <c r="BWT68" s="59" t="s">
        <v>124</v>
      </c>
      <c r="BWU68" s="59" t="s">
        <v>101</v>
      </c>
      <c r="BWV68" s="56"/>
      <c r="BWW68" s="57"/>
      <c r="BWX68" s="57"/>
      <c r="BWY68" s="57"/>
      <c r="BWZ68" s="57"/>
      <c r="BXA68" s="57"/>
      <c r="BXB68" s="57"/>
      <c r="BXC68" s="59" t="s">
        <v>77</v>
      </c>
      <c r="BXD68" s="59" t="s">
        <v>78</v>
      </c>
      <c r="BXE68" s="59" t="s">
        <v>79</v>
      </c>
      <c r="BXF68" s="59" t="s">
        <v>80</v>
      </c>
      <c r="BXG68" s="59" t="s">
        <v>81</v>
      </c>
      <c r="BXH68" s="59" t="s">
        <v>64</v>
      </c>
      <c r="BXI68" s="59" t="s">
        <v>98</v>
      </c>
      <c r="BXJ68" s="59" t="s">
        <v>124</v>
      </c>
      <c r="BXK68" s="59" t="s">
        <v>101</v>
      </c>
      <c r="BXL68" s="56"/>
      <c r="BXM68" s="57"/>
      <c r="BXN68" s="57"/>
      <c r="BXO68" s="57"/>
      <c r="BXP68" s="57"/>
      <c r="BXQ68" s="57"/>
      <c r="BXR68" s="57"/>
      <c r="BXS68" s="59" t="s">
        <v>77</v>
      </c>
      <c r="BXT68" s="59" t="s">
        <v>78</v>
      </c>
      <c r="BXU68" s="59" t="s">
        <v>79</v>
      </c>
      <c r="BXV68" s="59" t="s">
        <v>80</v>
      </c>
      <c r="BXW68" s="59" t="s">
        <v>81</v>
      </c>
      <c r="BXX68" s="59" t="s">
        <v>64</v>
      </c>
      <c r="BXY68" s="59" t="s">
        <v>98</v>
      </c>
      <c r="BXZ68" s="59" t="s">
        <v>124</v>
      </c>
      <c r="BYA68" s="59" t="s">
        <v>101</v>
      </c>
      <c r="BYB68" s="56"/>
      <c r="BYC68" s="57"/>
      <c r="BYD68" s="57"/>
      <c r="BYE68" s="57"/>
      <c r="BYF68" s="57"/>
      <c r="BYG68" s="57"/>
      <c r="BYH68" s="57"/>
      <c r="BYI68" s="59" t="s">
        <v>77</v>
      </c>
      <c r="BYJ68" s="59" t="s">
        <v>78</v>
      </c>
      <c r="BYK68" s="59" t="s">
        <v>79</v>
      </c>
      <c r="BYL68" s="59" t="s">
        <v>80</v>
      </c>
      <c r="BYM68" s="59" t="s">
        <v>81</v>
      </c>
      <c r="BYN68" s="59" t="s">
        <v>64</v>
      </c>
      <c r="BYO68" s="59" t="s">
        <v>98</v>
      </c>
      <c r="BYP68" s="59" t="s">
        <v>124</v>
      </c>
      <c r="BYQ68" s="59" t="s">
        <v>101</v>
      </c>
      <c r="BYR68" s="56"/>
      <c r="BYS68" s="57"/>
      <c r="BYT68" s="57"/>
      <c r="BYU68" s="57"/>
      <c r="BYV68" s="57"/>
      <c r="BYW68" s="57"/>
      <c r="BYX68" s="57"/>
      <c r="BYY68" s="59" t="s">
        <v>77</v>
      </c>
      <c r="BYZ68" s="59" t="s">
        <v>78</v>
      </c>
      <c r="BZA68" s="59" t="s">
        <v>79</v>
      </c>
      <c r="BZB68" s="59" t="s">
        <v>80</v>
      </c>
      <c r="BZC68" s="59" t="s">
        <v>81</v>
      </c>
      <c r="BZD68" s="59" t="s">
        <v>64</v>
      </c>
      <c r="BZE68" s="59" t="s">
        <v>98</v>
      </c>
      <c r="BZF68" s="59" t="s">
        <v>124</v>
      </c>
      <c r="BZG68" s="59" t="s">
        <v>101</v>
      </c>
      <c r="BZH68" s="56"/>
      <c r="BZI68" s="57"/>
      <c r="BZJ68" s="57"/>
      <c r="BZK68" s="57"/>
      <c r="BZL68" s="57"/>
      <c r="BZM68" s="57"/>
      <c r="BZN68" s="57"/>
      <c r="BZO68" s="59" t="s">
        <v>77</v>
      </c>
      <c r="BZP68" s="59" t="s">
        <v>78</v>
      </c>
      <c r="BZQ68" s="59" t="s">
        <v>79</v>
      </c>
      <c r="BZR68" s="59" t="s">
        <v>80</v>
      </c>
      <c r="BZS68" s="59" t="s">
        <v>81</v>
      </c>
      <c r="BZT68" s="59" t="s">
        <v>64</v>
      </c>
      <c r="BZU68" s="59" t="s">
        <v>98</v>
      </c>
      <c r="BZV68" s="59" t="s">
        <v>124</v>
      </c>
      <c r="BZW68" s="59" t="s">
        <v>101</v>
      </c>
      <c r="BZX68" s="56"/>
      <c r="BZY68" s="57"/>
      <c r="BZZ68" s="57"/>
      <c r="CAA68" s="57"/>
      <c r="CAB68" s="57"/>
      <c r="CAC68" s="57"/>
      <c r="CAD68" s="57"/>
      <c r="CAE68" s="59" t="s">
        <v>77</v>
      </c>
      <c r="CAF68" s="59" t="s">
        <v>78</v>
      </c>
      <c r="CAG68" s="59" t="s">
        <v>79</v>
      </c>
      <c r="CAH68" s="59" t="s">
        <v>80</v>
      </c>
      <c r="CAI68" s="59" t="s">
        <v>81</v>
      </c>
      <c r="CAJ68" s="59" t="s">
        <v>64</v>
      </c>
      <c r="CAK68" s="59" t="s">
        <v>98</v>
      </c>
      <c r="CAL68" s="59" t="s">
        <v>124</v>
      </c>
      <c r="CAM68" s="59" t="s">
        <v>101</v>
      </c>
      <c r="CAN68" s="56"/>
      <c r="CAO68" s="57"/>
      <c r="CAP68" s="57"/>
      <c r="CAQ68" s="57"/>
      <c r="CAR68" s="57"/>
      <c r="CAS68" s="57"/>
      <c r="CAT68" s="57"/>
      <c r="CAU68" s="59" t="s">
        <v>77</v>
      </c>
      <c r="CAV68" s="59" t="s">
        <v>78</v>
      </c>
      <c r="CAW68" s="59" t="s">
        <v>79</v>
      </c>
      <c r="CAX68" s="59" t="s">
        <v>80</v>
      </c>
      <c r="CAY68" s="59" t="s">
        <v>81</v>
      </c>
      <c r="CAZ68" s="59" t="s">
        <v>64</v>
      </c>
      <c r="CBA68" s="59" t="s">
        <v>98</v>
      </c>
      <c r="CBB68" s="59" t="s">
        <v>124</v>
      </c>
      <c r="CBC68" s="59" t="s">
        <v>101</v>
      </c>
      <c r="CBD68" s="56"/>
      <c r="CBE68" s="57"/>
      <c r="CBF68" s="57"/>
      <c r="CBG68" s="57"/>
      <c r="CBH68" s="57"/>
      <c r="CBI68" s="57"/>
      <c r="CBJ68" s="57"/>
      <c r="CBK68" s="59" t="s">
        <v>77</v>
      </c>
      <c r="CBL68" s="59" t="s">
        <v>78</v>
      </c>
      <c r="CBM68" s="59" t="s">
        <v>79</v>
      </c>
      <c r="CBN68" s="59" t="s">
        <v>80</v>
      </c>
      <c r="CBO68" s="59" t="s">
        <v>81</v>
      </c>
      <c r="CBP68" s="59" t="s">
        <v>64</v>
      </c>
      <c r="CBQ68" s="59" t="s">
        <v>98</v>
      </c>
      <c r="CBR68" s="59" t="s">
        <v>124</v>
      </c>
      <c r="CBS68" s="59" t="s">
        <v>101</v>
      </c>
      <c r="CBT68" s="56"/>
      <c r="CBU68" s="57"/>
      <c r="CBV68" s="57"/>
      <c r="CBW68" s="57"/>
      <c r="CBX68" s="57"/>
      <c r="CBY68" s="57"/>
      <c r="CBZ68" s="57"/>
      <c r="CCA68" s="59" t="s">
        <v>77</v>
      </c>
      <c r="CCB68" s="59" t="s">
        <v>78</v>
      </c>
      <c r="CCC68" s="59" t="s">
        <v>79</v>
      </c>
      <c r="CCD68" s="59" t="s">
        <v>80</v>
      </c>
      <c r="CCE68" s="59" t="s">
        <v>81</v>
      </c>
      <c r="CCF68" s="59" t="s">
        <v>64</v>
      </c>
      <c r="CCG68" s="59" t="s">
        <v>98</v>
      </c>
      <c r="CCH68" s="59" t="s">
        <v>124</v>
      </c>
      <c r="CCI68" s="59" t="s">
        <v>101</v>
      </c>
      <c r="CCJ68" s="56"/>
      <c r="CCK68" s="57"/>
      <c r="CCL68" s="57"/>
      <c r="CCM68" s="57"/>
      <c r="CCN68" s="57"/>
      <c r="CCO68" s="57"/>
      <c r="CCP68" s="57"/>
      <c r="CCQ68" s="59" t="s">
        <v>77</v>
      </c>
      <c r="CCR68" s="59" t="s">
        <v>78</v>
      </c>
      <c r="CCS68" s="59" t="s">
        <v>79</v>
      </c>
      <c r="CCT68" s="59" t="s">
        <v>80</v>
      </c>
      <c r="CCU68" s="59" t="s">
        <v>81</v>
      </c>
      <c r="CCV68" s="59" t="s">
        <v>64</v>
      </c>
      <c r="CCW68" s="59" t="s">
        <v>98</v>
      </c>
      <c r="CCX68" s="59" t="s">
        <v>124</v>
      </c>
      <c r="CCY68" s="59" t="s">
        <v>101</v>
      </c>
      <c r="CCZ68" s="56"/>
      <c r="CDA68" s="57"/>
      <c r="CDB68" s="57"/>
      <c r="CDC68" s="57"/>
      <c r="CDD68" s="57"/>
      <c r="CDE68" s="57"/>
      <c r="CDF68" s="57"/>
      <c r="CDG68" s="59" t="s">
        <v>77</v>
      </c>
      <c r="CDH68" s="59" t="s">
        <v>78</v>
      </c>
      <c r="CDI68" s="59" t="s">
        <v>79</v>
      </c>
      <c r="CDJ68" s="59" t="s">
        <v>80</v>
      </c>
      <c r="CDK68" s="59" t="s">
        <v>81</v>
      </c>
      <c r="CDL68" s="59" t="s">
        <v>64</v>
      </c>
      <c r="CDM68" s="59" t="s">
        <v>98</v>
      </c>
      <c r="CDN68" s="59" t="s">
        <v>124</v>
      </c>
      <c r="CDO68" s="59" t="s">
        <v>101</v>
      </c>
      <c r="CDP68" s="56"/>
      <c r="CDQ68" s="57"/>
      <c r="CDR68" s="57"/>
      <c r="CDS68" s="57"/>
      <c r="CDT68" s="57"/>
      <c r="CDU68" s="57"/>
      <c r="CDV68" s="57"/>
      <c r="CDW68" s="59" t="s">
        <v>77</v>
      </c>
      <c r="CDX68" s="59" t="s">
        <v>78</v>
      </c>
      <c r="CDY68" s="59" t="s">
        <v>79</v>
      </c>
      <c r="CDZ68" s="59" t="s">
        <v>80</v>
      </c>
      <c r="CEA68" s="59" t="s">
        <v>81</v>
      </c>
      <c r="CEB68" s="59" t="s">
        <v>64</v>
      </c>
      <c r="CEC68" s="59" t="s">
        <v>98</v>
      </c>
      <c r="CED68" s="59" t="s">
        <v>124</v>
      </c>
      <c r="CEE68" s="59" t="s">
        <v>101</v>
      </c>
      <c r="CEF68" s="56"/>
      <c r="CEG68" s="57"/>
      <c r="CEH68" s="57"/>
      <c r="CEI68" s="57"/>
      <c r="CEJ68" s="57"/>
      <c r="CEK68" s="57"/>
      <c r="CEL68" s="57"/>
      <c r="CEM68" s="59" t="s">
        <v>77</v>
      </c>
      <c r="CEN68" s="59" t="s">
        <v>78</v>
      </c>
      <c r="CEO68" s="59" t="s">
        <v>79</v>
      </c>
      <c r="CEP68" s="59" t="s">
        <v>80</v>
      </c>
      <c r="CEQ68" s="59" t="s">
        <v>81</v>
      </c>
      <c r="CER68" s="59" t="s">
        <v>64</v>
      </c>
      <c r="CES68" s="59" t="s">
        <v>98</v>
      </c>
      <c r="CET68" s="59" t="s">
        <v>124</v>
      </c>
      <c r="CEU68" s="59" t="s">
        <v>101</v>
      </c>
      <c r="CEV68" s="56"/>
      <c r="CEW68" s="57"/>
      <c r="CEX68" s="57"/>
      <c r="CEY68" s="57"/>
      <c r="CEZ68" s="57"/>
      <c r="CFA68" s="57"/>
      <c r="CFB68" s="57"/>
      <c r="CFC68" s="59" t="s">
        <v>77</v>
      </c>
      <c r="CFD68" s="59" t="s">
        <v>78</v>
      </c>
      <c r="CFE68" s="59" t="s">
        <v>79</v>
      </c>
      <c r="CFF68" s="59" t="s">
        <v>80</v>
      </c>
      <c r="CFG68" s="59" t="s">
        <v>81</v>
      </c>
      <c r="CFH68" s="59" t="s">
        <v>64</v>
      </c>
      <c r="CFI68" s="59" t="s">
        <v>98</v>
      </c>
      <c r="CFJ68" s="59" t="s">
        <v>124</v>
      </c>
      <c r="CFK68" s="59" t="s">
        <v>101</v>
      </c>
      <c r="CFL68" s="56"/>
      <c r="CFM68" s="57"/>
      <c r="CFN68" s="57"/>
      <c r="CFO68" s="57"/>
      <c r="CFP68" s="57"/>
      <c r="CFQ68" s="57"/>
      <c r="CFR68" s="57"/>
      <c r="CFS68" s="59" t="s">
        <v>77</v>
      </c>
      <c r="CFT68" s="59" t="s">
        <v>78</v>
      </c>
      <c r="CFU68" s="59" t="s">
        <v>79</v>
      </c>
      <c r="CFV68" s="59" t="s">
        <v>80</v>
      </c>
      <c r="CFW68" s="59" t="s">
        <v>81</v>
      </c>
      <c r="CFX68" s="59" t="s">
        <v>64</v>
      </c>
      <c r="CFY68" s="59" t="s">
        <v>98</v>
      </c>
      <c r="CFZ68" s="59" t="s">
        <v>124</v>
      </c>
      <c r="CGA68" s="59" t="s">
        <v>101</v>
      </c>
      <c r="CGB68" s="56"/>
      <c r="CGC68" s="57"/>
      <c r="CGD68" s="57"/>
      <c r="CGE68" s="57"/>
      <c r="CGF68" s="57"/>
      <c r="CGG68" s="57"/>
      <c r="CGH68" s="57"/>
      <c r="CGI68" s="59" t="s">
        <v>77</v>
      </c>
      <c r="CGJ68" s="59" t="s">
        <v>78</v>
      </c>
      <c r="CGK68" s="59" t="s">
        <v>79</v>
      </c>
      <c r="CGL68" s="59" t="s">
        <v>80</v>
      </c>
      <c r="CGM68" s="59" t="s">
        <v>81</v>
      </c>
      <c r="CGN68" s="59" t="s">
        <v>64</v>
      </c>
      <c r="CGO68" s="59" t="s">
        <v>98</v>
      </c>
      <c r="CGP68" s="59" t="s">
        <v>124</v>
      </c>
      <c r="CGQ68" s="59" t="s">
        <v>101</v>
      </c>
      <c r="CGR68" s="56"/>
      <c r="CGS68" s="57"/>
      <c r="CGT68" s="57"/>
      <c r="CGU68" s="57"/>
      <c r="CGV68" s="57"/>
      <c r="CGW68" s="57"/>
      <c r="CGX68" s="57"/>
      <c r="CGY68" s="59" t="s">
        <v>77</v>
      </c>
      <c r="CGZ68" s="59" t="s">
        <v>78</v>
      </c>
      <c r="CHA68" s="59" t="s">
        <v>79</v>
      </c>
      <c r="CHB68" s="59" t="s">
        <v>80</v>
      </c>
      <c r="CHC68" s="59" t="s">
        <v>81</v>
      </c>
      <c r="CHD68" s="59" t="s">
        <v>64</v>
      </c>
      <c r="CHE68" s="59" t="s">
        <v>98</v>
      </c>
      <c r="CHF68" s="59" t="s">
        <v>124</v>
      </c>
      <c r="CHG68" s="59" t="s">
        <v>101</v>
      </c>
      <c r="CHH68" s="56"/>
      <c r="CHI68" s="57"/>
      <c r="CHJ68" s="57"/>
      <c r="CHK68" s="57"/>
      <c r="CHL68" s="57"/>
      <c r="CHM68" s="57"/>
      <c r="CHN68" s="57"/>
      <c r="CHO68" s="59" t="s">
        <v>77</v>
      </c>
      <c r="CHP68" s="59" t="s">
        <v>78</v>
      </c>
      <c r="CHQ68" s="59" t="s">
        <v>79</v>
      </c>
      <c r="CHR68" s="59" t="s">
        <v>80</v>
      </c>
      <c r="CHS68" s="59" t="s">
        <v>81</v>
      </c>
      <c r="CHT68" s="59" t="s">
        <v>64</v>
      </c>
      <c r="CHU68" s="59" t="s">
        <v>98</v>
      </c>
      <c r="CHV68" s="59" t="s">
        <v>124</v>
      </c>
      <c r="CHW68" s="59" t="s">
        <v>101</v>
      </c>
      <c r="CHX68" s="56"/>
      <c r="CHY68" s="57"/>
      <c r="CHZ68" s="57"/>
      <c r="CIA68" s="57"/>
      <c r="CIB68" s="57"/>
      <c r="CIC68" s="57"/>
      <c r="CID68" s="57"/>
      <c r="CIE68" s="59" t="s">
        <v>77</v>
      </c>
      <c r="CIF68" s="59" t="s">
        <v>78</v>
      </c>
      <c r="CIG68" s="59" t="s">
        <v>79</v>
      </c>
      <c r="CIH68" s="59" t="s">
        <v>80</v>
      </c>
      <c r="CII68" s="59" t="s">
        <v>81</v>
      </c>
      <c r="CIJ68" s="59" t="s">
        <v>64</v>
      </c>
      <c r="CIK68" s="59" t="s">
        <v>98</v>
      </c>
      <c r="CIL68" s="59" t="s">
        <v>124</v>
      </c>
      <c r="CIM68" s="59" t="s">
        <v>101</v>
      </c>
      <c r="CIN68" s="56"/>
      <c r="CIO68" s="57"/>
      <c r="CIP68" s="57"/>
      <c r="CIQ68" s="57"/>
      <c r="CIR68" s="57"/>
      <c r="CIS68" s="57"/>
      <c r="CIT68" s="57"/>
      <c r="CIU68" s="59" t="s">
        <v>77</v>
      </c>
      <c r="CIV68" s="59" t="s">
        <v>78</v>
      </c>
      <c r="CIW68" s="59" t="s">
        <v>79</v>
      </c>
      <c r="CIX68" s="59" t="s">
        <v>80</v>
      </c>
      <c r="CIY68" s="59" t="s">
        <v>81</v>
      </c>
      <c r="CIZ68" s="59" t="s">
        <v>64</v>
      </c>
      <c r="CJA68" s="59" t="s">
        <v>98</v>
      </c>
      <c r="CJB68" s="59" t="s">
        <v>124</v>
      </c>
      <c r="CJC68" s="59" t="s">
        <v>101</v>
      </c>
      <c r="CJD68" s="56"/>
      <c r="CJE68" s="57"/>
      <c r="CJF68" s="57"/>
      <c r="CJG68" s="57"/>
      <c r="CJH68" s="57"/>
      <c r="CJI68" s="57"/>
      <c r="CJJ68" s="57"/>
      <c r="CJK68" s="59" t="s">
        <v>77</v>
      </c>
      <c r="CJL68" s="59" t="s">
        <v>78</v>
      </c>
      <c r="CJM68" s="59" t="s">
        <v>79</v>
      </c>
      <c r="CJN68" s="59" t="s">
        <v>80</v>
      </c>
      <c r="CJO68" s="59" t="s">
        <v>81</v>
      </c>
      <c r="CJP68" s="59" t="s">
        <v>64</v>
      </c>
      <c r="CJQ68" s="59" t="s">
        <v>98</v>
      </c>
      <c r="CJR68" s="59" t="s">
        <v>124</v>
      </c>
      <c r="CJS68" s="59" t="s">
        <v>101</v>
      </c>
      <c r="CJT68" s="56"/>
      <c r="CJU68" s="57"/>
      <c r="CJV68" s="57"/>
      <c r="CJW68" s="57"/>
      <c r="CJX68" s="57"/>
      <c r="CJY68" s="57"/>
      <c r="CJZ68" s="57"/>
      <c r="CKA68" s="59" t="s">
        <v>77</v>
      </c>
      <c r="CKB68" s="59" t="s">
        <v>78</v>
      </c>
      <c r="CKC68" s="59" t="s">
        <v>79</v>
      </c>
      <c r="CKD68" s="59" t="s">
        <v>80</v>
      </c>
      <c r="CKE68" s="59" t="s">
        <v>81</v>
      </c>
      <c r="CKF68" s="59" t="s">
        <v>64</v>
      </c>
      <c r="CKG68" s="59" t="s">
        <v>98</v>
      </c>
      <c r="CKH68" s="59" t="s">
        <v>124</v>
      </c>
      <c r="CKI68" s="59" t="s">
        <v>101</v>
      </c>
      <c r="CKJ68" s="56"/>
      <c r="CKK68" s="57"/>
      <c r="CKL68" s="57"/>
      <c r="CKM68" s="57"/>
      <c r="CKN68" s="57"/>
      <c r="CKO68" s="57"/>
      <c r="CKP68" s="57"/>
      <c r="CKQ68" s="59" t="s">
        <v>77</v>
      </c>
      <c r="CKR68" s="59" t="s">
        <v>78</v>
      </c>
      <c r="CKS68" s="59" t="s">
        <v>79</v>
      </c>
      <c r="CKT68" s="59" t="s">
        <v>80</v>
      </c>
      <c r="CKU68" s="59" t="s">
        <v>81</v>
      </c>
      <c r="CKV68" s="59" t="s">
        <v>64</v>
      </c>
      <c r="CKW68" s="59" t="s">
        <v>98</v>
      </c>
      <c r="CKX68" s="59" t="s">
        <v>124</v>
      </c>
      <c r="CKY68" s="59" t="s">
        <v>101</v>
      </c>
      <c r="CKZ68" s="56"/>
      <c r="CLA68" s="57"/>
      <c r="CLB68" s="57"/>
      <c r="CLC68" s="57"/>
      <c r="CLD68" s="57"/>
      <c r="CLE68" s="57"/>
      <c r="CLF68" s="57"/>
      <c r="CLG68" s="59" t="s">
        <v>77</v>
      </c>
      <c r="CLH68" s="59" t="s">
        <v>78</v>
      </c>
      <c r="CLI68" s="59" t="s">
        <v>79</v>
      </c>
      <c r="CLJ68" s="59" t="s">
        <v>80</v>
      </c>
      <c r="CLK68" s="59" t="s">
        <v>81</v>
      </c>
      <c r="CLL68" s="59" t="s">
        <v>64</v>
      </c>
      <c r="CLM68" s="59" t="s">
        <v>98</v>
      </c>
      <c r="CLN68" s="59" t="s">
        <v>124</v>
      </c>
      <c r="CLO68" s="59" t="s">
        <v>101</v>
      </c>
      <c r="CLP68" s="56"/>
      <c r="CLQ68" s="57"/>
      <c r="CLR68" s="57"/>
      <c r="CLS68" s="57"/>
      <c r="CLT68" s="57"/>
      <c r="CLU68" s="57"/>
      <c r="CLV68" s="57"/>
      <c r="CLW68" s="59" t="s">
        <v>77</v>
      </c>
      <c r="CLX68" s="59" t="s">
        <v>78</v>
      </c>
      <c r="CLY68" s="59" t="s">
        <v>79</v>
      </c>
      <c r="CLZ68" s="59" t="s">
        <v>80</v>
      </c>
      <c r="CMA68" s="59" t="s">
        <v>81</v>
      </c>
      <c r="CMB68" s="59" t="s">
        <v>64</v>
      </c>
      <c r="CMC68" s="59" t="s">
        <v>98</v>
      </c>
      <c r="CMD68" s="59" t="s">
        <v>124</v>
      </c>
      <c r="CME68" s="59" t="s">
        <v>101</v>
      </c>
      <c r="CMF68" s="56"/>
      <c r="CMG68" s="57"/>
      <c r="CMH68" s="57"/>
      <c r="CMI68" s="57"/>
      <c r="CMJ68" s="57"/>
      <c r="CMK68" s="57"/>
      <c r="CML68" s="57"/>
      <c r="CMM68" s="59" t="s">
        <v>77</v>
      </c>
      <c r="CMN68" s="59" t="s">
        <v>78</v>
      </c>
      <c r="CMO68" s="59" t="s">
        <v>79</v>
      </c>
      <c r="CMP68" s="59" t="s">
        <v>80</v>
      </c>
      <c r="CMQ68" s="59" t="s">
        <v>81</v>
      </c>
      <c r="CMR68" s="59" t="s">
        <v>64</v>
      </c>
      <c r="CMS68" s="59" t="s">
        <v>98</v>
      </c>
      <c r="CMT68" s="59" t="s">
        <v>124</v>
      </c>
      <c r="CMU68" s="59" t="s">
        <v>101</v>
      </c>
      <c r="CMV68" s="56"/>
      <c r="CMW68" s="57"/>
      <c r="CMX68" s="57"/>
      <c r="CMY68" s="57"/>
      <c r="CMZ68" s="57"/>
      <c r="CNA68" s="57"/>
      <c r="CNB68" s="57"/>
      <c r="CNC68" s="59" t="s">
        <v>77</v>
      </c>
      <c r="CND68" s="59" t="s">
        <v>78</v>
      </c>
      <c r="CNE68" s="59" t="s">
        <v>79</v>
      </c>
      <c r="CNF68" s="59" t="s">
        <v>80</v>
      </c>
      <c r="CNG68" s="59" t="s">
        <v>81</v>
      </c>
      <c r="CNH68" s="59" t="s">
        <v>64</v>
      </c>
      <c r="CNI68" s="59" t="s">
        <v>98</v>
      </c>
      <c r="CNJ68" s="59" t="s">
        <v>124</v>
      </c>
      <c r="CNK68" s="59" t="s">
        <v>101</v>
      </c>
      <c r="CNL68" s="56"/>
      <c r="CNM68" s="57"/>
      <c r="CNN68" s="57"/>
      <c r="CNO68" s="57"/>
      <c r="CNP68" s="57"/>
      <c r="CNQ68" s="57"/>
      <c r="CNR68" s="57"/>
      <c r="CNS68" s="59" t="s">
        <v>77</v>
      </c>
      <c r="CNT68" s="59" t="s">
        <v>78</v>
      </c>
      <c r="CNU68" s="59" t="s">
        <v>79</v>
      </c>
      <c r="CNV68" s="59" t="s">
        <v>80</v>
      </c>
      <c r="CNW68" s="59" t="s">
        <v>81</v>
      </c>
      <c r="CNX68" s="59" t="s">
        <v>64</v>
      </c>
      <c r="CNY68" s="59" t="s">
        <v>98</v>
      </c>
      <c r="CNZ68" s="59" t="s">
        <v>124</v>
      </c>
      <c r="COA68" s="59" t="s">
        <v>101</v>
      </c>
      <c r="COB68" s="56"/>
      <c r="COC68" s="57"/>
      <c r="COD68" s="57"/>
      <c r="COE68" s="57"/>
      <c r="COF68" s="57"/>
      <c r="COG68" s="57"/>
      <c r="COH68" s="57"/>
      <c r="COI68" s="59" t="s">
        <v>77</v>
      </c>
      <c r="COJ68" s="59" t="s">
        <v>78</v>
      </c>
      <c r="COK68" s="59" t="s">
        <v>79</v>
      </c>
      <c r="COL68" s="59" t="s">
        <v>80</v>
      </c>
      <c r="COM68" s="59" t="s">
        <v>81</v>
      </c>
      <c r="CON68" s="59" t="s">
        <v>64</v>
      </c>
      <c r="COO68" s="59" t="s">
        <v>98</v>
      </c>
      <c r="COP68" s="59" t="s">
        <v>124</v>
      </c>
      <c r="COQ68" s="59" t="s">
        <v>101</v>
      </c>
      <c r="COR68" s="56"/>
      <c r="COS68" s="57"/>
      <c r="COT68" s="57"/>
      <c r="COU68" s="57"/>
      <c r="COV68" s="57"/>
      <c r="COW68" s="57"/>
      <c r="COX68" s="57"/>
      <c r="COY68" s="59" t="s">
        <v>77</v>
      </c>
      <c r="COZ68" s="59" t="s">
        <v>78</v>
      </c>
      <c r="CPA68" s="59" t="s">
        <v>79</v>
      </c>
      <c r="CPB68" s="59" t="s">
        <v>80</v>
      </c>
      <c r="CPC68" s="59" t="s">
        <v>81</v>
      </c>
      <c r="CPD68" s="59" t="s">
        <v>64</v>
      </c>
      <c r="CPE68" s="59" t="s">
        <v>98</v>
      </c>
      <c r="CPF68" s="59" t="s">
        <v>124</v>
      </c>
      <c r="CPG68" s="59" t="s">
        <v>101</v>
      </c>
      <c r="CPH68" s="56"/>
      <c r="CPI68" s="57"/>
      <c r="CPJ68" s="57"/>
      <c r="CPK68" s="57"/>
      <c r="CPL68" s="57"/>
      <c r="CPM68" s="57"/>
      <c r="CPN68" s="57"/>
      <c r="CPO68" s="59" t="s">
        <v>77</v>
      </c>
      <c r="CPP68" s="59" t="s">
        <v>78</v>
      </c>
      <c r="CPQ68" s="59" t="s">
        <v>79</v>
      </c>
      <c r="CPR68" s="59" t="s">
        <v>80</v>
      </c>
      <c r="CPS68" s="59" t="s">
        <v>81</v>
      </c>
      <c r="CPT68" s="59" t="s">
        <v>64</v>
      </c>
      <c r="CPU68" s="59" t="s">
        <v>98</v>
      </c>
      <c r="CPV68" s="59" t="s">
        <v>124</v>
      </c>
      <c r="CPW68" s="59" t="s">
        <v>101</v>
      </c>
      <c r="CPX68" s="56"/>
      <c r="CPY68" s="57"/>
      <c r="CPZ68" s="57"/>
      <c r="CQA68" s="57"/>
      <c r="CQB68" s="57"/>
      <c r="CQC68" s="57"/>
      <c r="CQD68" s="57"/>
      <c r="CQE68" s="59" t="s">
        <v>77</v>
      </c>
      <c r="CQF68" s="59" t="s">
        <v>78</v>
      </c>
      <c r="CQG68" s="59" t="s">
        <v>79</v>
      </c>
      <c r="CQH68" s="59" t="s">
        <v>80</v>
      </c>
      <c r="CQI68" s="59" t="s">
        <v>81</v>
      </c>
      <c r="CQJ68" s="59" t="s">
        <v>64</v>
      </c>
      <c r="CQK68" s="59" t="s">
        <v>98</v>
      </c>
      <c r="CQL68" s="59" t="s">
        <v>124</v>
      </c>
      <c r="CQM68" s="59" t="s">
        <v>101</v>
      </c>
      <c r="CQN68" s="56"/>
      <c r="CQO68" s="57"/>
      <c r="CQP68" s="57"/>
      <c r="CQQ68" s="57"/>
      <c r="CQR68" s="57"/>
      <c r="CQS68" s="57"/>
      <c r="CQT68" s="57"/>
      <c r="CQU68" s="59" t="s">
        <v>77</v>
      </c>
      <c r="CQV68" s="59" t="s">
        <v>78</v>
      </c>
      <c r="CQW68" s="59" t="s">
        <v>79</v>
      </c>
      <c r="CQX68" s="59" t="s">
        <v>80</v>
      </c>
      <c r="CQY68" s="59" t="s">
        <v>81</v>
      </c>
      <c r="CQZ68" s="59" t="s">
        <v>64</v>
      </c>
      <c r="CRA68" s="59" t="s">
        <v>98</v>
      </c>
      <c r="CRB68" s="59" t="s">
        <v>124</v>
      </c>
      <c r="CRC68" s="59" t="s">
        <v>101</v>
      </c>
      <c r="CRD68" s="56"/>
      <c r="CRE68" s="57"/>
      <c r="CRF68" s="57"/>
      <c r="CRG68" s="57"/>
      <c r="CRH68" s="57"/>
      <c r="CRI68" s="57"/>
      <c r="CRJ68" s="57"/>
      <c r="CRK68" s="59" t="s">
        <v>77</v>
      </c>
      <c r="CRL68" s="59" t="s">
        <v>78</v>
      </c>
      <c r="CRM68" s="59" t="s">
        <v>79</v>
      </c>
      <c r="CRN68" s="59" t="s">
        <v>80</v>
      </c>
      <c r="CRO68" s="59" t="s">
        <v>81</v>
      </c>
      <c r="CRP68" s="59" t="s">
        <v>64</v>
      </c>
      <c r="CRQ68" s="59" t="s">
        <v>98</v>
      </c>
      <c r="CRR68" s="59" t="s">
        <v>124</v>
      </c>
      <c r="CRS68" s="59" t="s">
        <v>101</v>
      </c>
      <c r="CRT68" s="56"/>
      <c r="CRU68" s="57"/>
      <c r="CRV68" s="57"/>
      <c r="CRW68" s="57"/>
      <c r="CRX68" s="57"/>
      <c r="CRY68" s="57"/>
      <c r="CRZ68" s="57"/>
      <c r="CSA68" s="59" t="s">
        <v>77</v>
      </c>
      <c r="CSB68" s="59" t="s">
        <v>78</v>
      </c>
      <c r="CSC68" s="59" t="s">
        <v>79</v>
      </c>
      <c r="CSD68" s="59" t="s">
        <v>80</v>
      </c>
      <c r="CSE68" s="59" t="s">
        <v>81</v>
      </c>
      <c r="CSF68" s="59" t="s">
        <v>64</v>
      </c>
      <c r="CSG68" s="59" t="s">
        <v>98</v>
      </c>
      <c r="CSH68" s="59" t="s">
        <v>124</v>
      </c>
      <c r="CSI68" s="59" t="s">
        <v>101</v>
      </c>
      <c r="CSJ68" s="56"/>
      <c r="CSK68" s="57"/>
      <c r="CSL68" s="57"/>
      <c r="CSM68" s="57"/>
      <c r="CSN68" s="57"/>
      <c r="CSO68" s="57"/>
      <c r="CSP68" s="57"/>
      <c r="CSQ68" s="59" t="s">
        <v>77</v>
      </c>
      <c r="CSR68" s="59" t="s">
        <v>78</v>
      </c>
      <c r="CSS68" s="59" t="s">
        <v>79</v>
      </c>
      <c r="CST68" s="59" t="s">
        <v>80</v>
      </c>
      <c r="CSU68" s="59" t="s">
        <v>81</v>
      </c>
      <c r="CSV68" s="59" t="s">
        <v>64</v>
      </c>
      <c r="CSW68" s="59" t="s">
        <v>98</v>
      </c>
      <c r="CSX68" s="59" t="s">
        <v>124</v>
      </c>
      <c r="CSY68" s="59" t="s">
        <v>101</v>
      </c>
      <c r="CSZ68" s="56"/>
      <c r="CTA68" s="57"/>
      <c r="CTB68" s="57"/>
      <c r="CTC68" s="57"/>
      <c r="CTD68" s="57"/>
      <c r="CTE68" s="57"/>
      <c r="CTF68" s="57"/>
      <c r="CTG68" s="59" t="s">
        <v>77</v>
      </c>
      <c r="CTH68" s="59" t="s">
        <v>78</v>
      </c>
      <c r="CTI68" s="59" t="s">
        <v>79</v>
      </c>
      <c r="CTJ68" s="59" t="s">
        <v>80</v>
      </c>
      <c r="CTK68" s="59" t="s">
        <v>81</v>
      </c>
      <c r="CTL68" s="59" t="s">
        <v>64</v>
      </c>
      <c r="CTM68" s="59" t="s">
        <v>98</v>
      </c>
      <c r="CTN68" s="59" t="s">
        <v>124</v>
      </c>
      <c r="CTO68" s="59" t="s">
        <v>101</v>
      </c>
      <c r="CTP68" s="56"/>
      <c r="CTQ68" s="57"/>
      <c r="CTR68" s="57"/>
      <c r="CTS68" s="57"/>
      <c r="CTT68" s="57"/>
      <c r="CTU68" s="57"/>
      <c r="CTV68" s="57"/>
      <c r="CTW68" s="59" t="s">
        <v>77</v>
      </c>
      <c r="CTX68" s="59" t="s">
        <v>78</v>
      </c>
      <c r="CTY68" s="59" t="s">
        <v>79</v>
      </c>
      <c r="CTZ68" s="59" t="s">
        <v>80</v>
      </c>
      <c r="CUA68" s="59" t="s">
        <v>81</v>
      </c>
      <c r="CUB68" s="59" t="s">
        <v>64</v>
      </c>
      <c r="CUC68" s="59" t="s">
        <v>98</v>
      </c>
      <c r="CUD68" s="59" t="s">
        <v>124</v>
      </c>
      <c r="CUE68" s="59" t="s">
        <v>101</v>
      </c>
      <c r="CUF68" s="56"/>
      <c r="CUG68" s="57"/>
      <c r="CUH68" s="57"/>
      <c r="CUI68" s="57"/>
      <c r="CUJ68" s="57"/>
      <c r="CUK68" s="57"/>
      <c r="CUL68" s="57"/>
      <c r="CUM68" s="59" t="s">
        <v>77</v>
      </c>
      <c r="CUN68" s="59" t="s">
        <v>78</v>
      </c>
      <c r="CUO68" s="59" t="s">
        <v>79</v>
      </c>
      <c r="CUP68" s="59" t="s">
        <v>80</v>
      </c>
      <c r="CUQ68" s="59" t="s">
        <v>81</v>
      </c>
      <c r="CUR68" s="59" t="s">
        <v>64</v>
      </c>
      <c r="CUS68" s="59" t="s">
        <v>98</v>
      </c>
      <c r="CUT68" s="59" t="s">
        <v>124</v>
      </c>
      <c r="CUU68" s="59" t="s">
        <v>101</v>
      </c>
      <c r="CUV68" s="56"/>
      <c r="CUW68" s="57"/>
      <c r="CUX68" s="57"/>
      <c r="CUY68" s="57"/>
      <c r="CUZ68" s="57"/>
      <c r="CVA68" s="57"/>
      <c r="CVB68" s="57"/>
      <c r="CVC68" s="59" t="s">
        <v>77</v>
      </c>
      <c r="CVD68" s="59" t="s">
        <v>78</v>
      </c>
      <c r="CVE68" s="59" t="s">
        <v>79</v>
      </c>
      <c r="CVF68" s="59" t="s">
        <v>80</v>
      </c>
      <c r="CVG68" s="59" t="s">
        <v>81</v>
      </c>
      <c r="CVH68" s="59" t="s">
        <v>64</v>
      </c>
      <c r="CVI68" s="59" t="s">
        <v>98</v>
      </c>
      <c r="CVJ68" s="59" t="s">
        <v>124</v>
      </c>
      <c r="CVK68" s="59" t="s">
        <v>101</v>
      </c>
      <c r="CVL68" s="56"/>
      <c r="CVM68" s="57"/>
      <c r="CVN68" s="57"/>
      <c r="CVO68" s="57"/>
      <c r="CVP68" s="57"/>
      <c r="CVQ68" s="57"/>
      <c r="CVR68" s="57"/>
      <c r="CVS68" s="59" t="s">
        <v>77</v>
      </c>
      <c r="CVT68" s="59" t="s">
        <v>78</v>
      </c>
      <c r="CVU68" s="59" t="s">
        <v>79</v>
      </c>
      <c r="CVV68" s="59" t="s">
        <v>80</v>
      </c>
      <c r="CVW68" s="59" t="s">
        <v>81</v>
      </c>
      <c r="CVX68" s="59" t="s">
        <v>64</v>
      </c>
      <c r="CVY68" s="59" t="s">
        <v>98</v>
      </c>
      <c r="CVZ68" s="59" t="s">
        <v>124</v>
      </c>
      <c r="CWA68" s="59" t="s">
        <v>101</v>
      </c>
      <c r="CWB68" s="56"/>
      <c r="CWC68" s="57"/>
      <c r="CWD68" s="57"/>
      <c r="CWE68" s="57"/>
      <c r="CWF68" s="57"/>
      <c r="CWG68" s="57"/>
      <c r="CWH68" s="57"/>
      <c r="CWI68" s="59" t="s">
        <v>77</v>
      </c>
      <c r="CWJ68" s="59" t="s">
        <v>78</v>
      </c>
      <c r="CWK68" s="59" t="s">
        <v>79</v>
      </c>
      <c r="CWL68" s="59" t="s">
        <v>80</v>
      </c>
      <c r="CWM68" s="59" t="s">
        <v>81</v>
      </c>
      <c r="CWN68" s="59" t="s">
        <v>64</v>
      </c>
      <c r="CWO68" s="59" t="s">
        <v>98</v>
      </c>
      <c r="CWP68" s="59" t="s">
        <v>124</v>
      </c>
      <c r="CWQ68" s="59" t="s">
        <v>101</v>
      </c>
      <c r="CWR68" s="56"/>
      <c r="CWS68" s="57"/>
      <c r="CWT68" s="57"/>
      <c r="CWU68" s="57"/>
      <c r="CWV68" s="57"/>
      <c r="CWW68" s="57"/>
      <c r="CWX68" s="57"/>
      <c r="CWY68" s="59" t="s">
        <v>77</v>
      </c>
      <c r="CWZ68" s="59" t="s">
        <v>78</v>
      </c>
      <c r="CXA68" s="59" t="s">
        <v>79</v>
      </c>
      <c r="CXB68" s="59" t="s">
        <v>80</v>
      </c>
      <c r="CXC68" s="59" t="s">
        <v>81</v>
      </c>
      <c r="CXD68" s="59" t="s">
        <v>64</v>
      </c>
      <c r="CXE68" s="59" t="s">
        <v>98</v>
      </c>
      <c r="CXF68" s="59" t="s">
        <v>124</v>
      </c>
      <c r="CXG68" s="59" t="s">
        <v>101</v>
      </c>
      <c r="CXH68" s="56"/>
      <c r="CXI68" s="57"/>
      <c r="CXJ68" s="57"/>
      <c r="CXK68" s="57"/>
      <c r="CXL68" s="57"/>
      <c r="CXM68" s="57"/>
      <c r="CXN68" s="57"/>
      <c r="CXO68" s="59" t="s">
        <v>77</v>
      </c>
      <c r="CXP68" s="59" t="s">
        <v>78</v>
      </c>
      <c r="CXQ68" s="59" t="s">
        <v>79</v>
      </c>
      <c r="CXR68" s="59" t="s">
        <v>80</v>
      </c>
      <c r="CXS68" s="59" t="s">
        <v>81</v>
      </c>
      <c r="CXT68" s="59" t="s">
        <v>64</v>
      </c>
      <c r="CXU68" s="59" t="s">
        <v>98</v>
      </c>
      <c r="CXV68" s="59" t="s">
        <v>124</v>
      </c>
      <c r="CXW68" s="59" t="s">
        <v>101</v>
      </c>
      <c r="CXX68" s="56"/>
      <c r="CXY68" s="57"/>
      <c r="CXZ68" s="57"/>
      <c r="CYA68" s="57"/>
      <c r="CYB68" s="57"/>
      <c r="CYC68" s="57"/>
      <c r="CYD68" s="57"/>
      <c r="CYE68" s="59" t="s">
        <v>77</v>
      </c>
      <c r="CYF68" s="59" t="s">
        <v>78</v>
      </c>
      <c r="CYG68" s="59" t="s">
        <v>79</v>
      </c>
      <c r="CYH68" s="59" t="s">
        <v>80</v>
      </c>
      <c r="CYI68" s="59" t="s">
        <v>81</v>
      </c>
      <c r="CYJ68" s="59" t="s">
        <v>64</v>
      </c>
      <c r="CYK68" s="59" t="s">
        <v>98</v>
      </c>
      <c r="CYL68" s="59" t="s">
        <v>124</v>
      </c>
      <c r="CYM68" s="59" t="s">
        <v>101</v>
      </c>
      <c r="CYN68" s="56"/>
      <c r="CYO68" s="57"/>
      <c r="CYP68" s="57"/>
      <c r="CYQ68" s="57"/>
      <c r="CYR68" s="57"/>
      <c r="CYS68" s="57"/>
      <c r="CYT68" s="57"/>
      <c r="CYU68" s="59" t="s">
        <v>77</v>
      </c>
      <c r="CYV68" s="59" t="s">
        <v>78</v>
      </c>
      <c r="CYW68" s="59" t="s">
        <v>79</v>
      </c>
      <c r="CYX68" s="59" t="s">
        <v>80</v>
      </c>
      <c r="CYY68" s="59" t="s">
        <v>81</v>
      </c>
      <c r="CYZ68" s="59" t="s">
        <v>64</v>
      </c>
      <c r="CZA68" s="59" t="s">
        <v>98</v>
      </c>
      <c r="CZB68" s="59" t="s">
        <v>124</v>
      </c>
      <c r="CZC68" s="59" t="s">
        <v>101</v>
      </c>
      <c r="CZD68" s="56"/>
      <c r="CZE68" s="57"/>
      <c r="CZF68" s="57"/>
      <c r="CZG68" s="57"/>
      <c r="CZH68" s="57"/>
      <c r="CZI68" s="57"/>
      <c r="CZJ68" s="57"/>
      <c r="CZK68" s="59" t="s">
        <v>77</v>
      </c>
      <c r="CZL68" s="59" t="s">
        <v>78</v>
      </c>
      <c r="CZM68" s="59" t="s">
        <v>79</v>
      </c>
      <c r="CZN68" s="59" t="s">
        <v>80</v>
      </c>
      <c r="CZO68" s="59" t="s">
        <v>81</v>
      </c>
      <c r="CZP68" s="59" t="s">
        <v>64</v>
      </c>
      <c r="CZQ68" s="59" t="s">
        <v>98</v>
      </c>
      <c r="CZR68" s="59" t="s">
        <v>124</v>
      </c>
      <c r="CZS68" s="59" t="s">
        <v>101</v>
      </c>
      <c r="CZT68" s="56"/>
      <c r="CZU68" s="57"/>
      <c r="CZV68" s="57"/>
      <c r="CZW68" s="57"/>
      <c r="CZX68" s="57"/>
      <c r="CZY68" s="57"/>
      <c r="CZZ68" s="57"/>
      <c r="DAA68" s="59" t="s">
        <v>77</v>
      </c>
      <c r="DAB68" s="59" t="s">
        <v>78</v>
      </c>
      <c r="DAC68" s="59" t="s">
        <v>79</v>
      </c>
      <c r="DAD68" s="59" t="s">
        <v>80</v>
      </c>
      <c r="DAE68" s="59" t="s">
        <v>81</v>
      </c>
      <c r="DAF68" s="59" t="s">
        <v>64</v>
      </c>
      <c r="DAG68" s="59" t="s">
        <v>98</v>
      </c>
      <c r="DAH68" s="59" t="s">
        <v>124</v>
      </c>
      <c r="DAI68" s="59" t="s">
        <v>101</v>
      </c>
      <c r="DAJ68" s="56"/>
      <c r="DAK68" s="57"/>
      <c r="DAL68" s="57"/>
      <c r="DAM68" s="57"/>
      <c r="DAN68" s="57"/>
      <c r="DAO68" s="57"/>
      <c r="DAP68" s="57"/>
      <c r="DAQ68" s="59" t="s">
        <v>77</v>
      </c>
      <c r="DAR68" s="59" t="s">
        <v>78</v>
      </c>
      <c r="DAS68" s="59" t="s">
        <v>79</v>
      </c>
      <c r="DAT68" s="59" t="s">
        <v>80</v>
      </c>
      <c r="DAU68" s="59" t="s">
        <v>81</v>
      </c>
      <c r="DAV68" s="59" t="s">
        <v>64</v>
      </c>
      <c r="DAW68" s="59" t="s">
        <v>98</v>
      </c>
      <c r="DAX68" s="59" t="s">
        <v>124</v>
      </c>
      <c r="DAY68" s="59" t="s">
        <v>101</v>
      </c>
      <c r="DAZ68" s="56"/>
      <c r="DBA68" s="57"/>
      <c r="DBB68" s="57"/>
      <c r="DBC68" s="57"/>
      <c r="DBD68" s="57"/>
      <c r="DBE68" s="57"/>
      <c r="DBF68" s="57"/>
      <c r="DBG68" s="59" t="s">
        <v>77</v>
      </c>
      <c r="DBH68" s="59" t="s">
        <v>78</v>
      </c>
      <c r="DBI68" s="59" t="s">
        <v>79</v>
      </c>
      <c r="DBJ68" s="59" t="s">
        <v>80</v>
      </c>
      <c r="DBK68" s="59" t="s">
        <v>81</v>
      </c>
      <c r="DBL68" s="59" t="s">
        <v>64</v>
      </c>
      <c r="DBM68" s="59" t="s">
        <v>98</v>
      </c>
      <c r="DBN68" s="59" t="s">
        <v>124</v>
      </c>
      <c r="DBO68" s="59" t="s">
        <v>101</v>
      </c>
      <c r="DBP68" s="56"/>
      <c r="DBQ68" s="57"/>
      <c r="DBR68" s="57"/>
      <c r="DBS68" s="57"/>
      <c r="DBT68" s="57"/>
      <c r="DBU68" s="57"/>
      <c r="DBV68" s="57"/>
      <c r="DBW68" s="59" t="s">
        <v>77</v>
      </c>
      <c r="DBX68" s="59" t="s">
        <v>78</v>
      </c>
      <c r="DBY68" s="59" t="s">
        <v>79</v>
      </c>
      <c r="DBZ68" s="59" t="s">
        <v>80</v>
      </c>
      <c r="DCA68" s="59" t="s">
        <v>81</v>
      </c>
      <c r="DCB68" s="59" t="s">
        <v>64</v>
      </c>
      <c r="DCC68" s="59" t="s">
        <v>98</v>
      </c>
      <c r="DCD68" s="59" t="s">
        <v>124</v>
      </c>
      <c r="DCE68" s="59" t="s">
        <v>101</v>
      </c>
      <c r="DCF68" s="56"/>
      <c r="DCG68" s="57"/>
      <c r="DCH68" s="57"/>
      <c r="DCI68" s="57"/>
      <c r="DCJ68" s="57"/>
      <c r="DCK68" s="57"/>
      <c r="DCL68" s="57"/>
      <c r="DCM68" s="59" t="s">
        <v>77</v>
      </c>
      <c r="DCN68" s="59" t="s">
        <v>78</v>
      </c>
      <c r="DCO68" s="59" t="s">
        <v>79</v>
      </c>
      <c r="DCP68" s="59" t="s">
        <v>80</v>
      </c>
      <c r="DCQ68" s="59" t="s">
        <v>81</v>
      </c>
      <c r="DCR68" s="59" t="s">
        <v>64</v>
      </c>
      <c r="DCS68" s="59" t="s">
        <v>98</v>
      </c>
      <c r="DCT68" s="59" t="s">
        <v>124</v>
      </c>
      <c r="DCU68" s="59" t="s">
        <v>101</v>
      </c>
      <c r="DCV68" s="56"/>
      <c r="DCW68" s="57"/>
      <c r="DCX68" s="57"/>
      <c r="DCY68" s="57"/>
      <c r="DCZ68" s="57"/>
      <c r="DDA68" s="57"/>
      <c r="DDB68" s="57"/>
      <c r="DDC68" s="59" t="s">
        <v>77</v>
      </c>
      <c r="DDD68" s="59" t="s">
        <v>78</v>
      </c>
      <c r="DDE68" s="59" t="s">
        <v>79</v>
      </c>
      <c r="DDF68" s="59" t="s">
        <v>80</v>
      </c>
      <c r="DDG68" s="59" t="s">
        <v>81</v>
      </c>
      <c r="DDH68" s="59" t="s">
        <v>64</v>
      </c>
      <c r="DDI68" s="59" t="s">
        <v>98</v>
      </c>
      <c r="DDJ68" s="59" t="s">
        <v>124</v>
      </c>
      <c r="DDK68" s="59" t="s">
        <v>101</v>
      </c>
      <c r="DDL68" s="56"/>
      <c r="DDM68" s="57"/>
      <c r="DDN68" s="57"/>
      <c r="DDO68" s="57"/>
      <c r="DDP68" s="57"/>
      <c r="DDQ68" s="57"/>
      <c r="DDR68" s="57"/>
      <c r="DDS68" s="59" t="s">
        <v>77</v>
      </c>
      <c r="DDT68" s="59" t="s">
        <v>78</v>
      </c>
      <c r="DDU68" s="59" t="s">
        <v>79</v>
      </c>
      <c r="DDV68" s="59" t="s">
        <v>80</v>
      </c>
      <c r="DDW68" s="59" t="s">
        <v>81</v>
      </c>
      <c r="DDX68" s="59" t="s">
        <v>64</v>
      </c>
      <c r="DDY68" s="59" t="s">
        <v>98</v>
      </c>
      <c r="DDZ68" s="59" t="s">
        <v>124</v>
      </c>
      <c r="DEA68" s="59" t="s">
        <v>101</v>
      </c>
      <c r="DEB68" s="56"/>
      <c r="DEC68" s="57"/>
      <c r="DED68" s="57"/>
      <c r="DEE68" s="57"/>
      <c r="DEF68" s="57"/>
      <c r="DEG68" s="57"/>
      <c r="DEH68" s="57"/>
      <c r="DEI68" s="59" t="s">
        <v>77</v>
      </c>
      <c r="DEJ68" s="59" t="s">
        <v>78</v>
      </c>
      <c r="DEK68" s="59" t="s">
        <v>79</v>
      </c>
      <c r="DEL68" s="59" t="s">
        <v>80</v>
      </c>
      <c r="DEM68" s="59" t="s">
        <v>81</v>
      </c>
      <c r="DEN68" s="59" t="s">
        <v>64</v>
      </c>
      <c r="DEO68" s="59" t="s">
        <v>98</v>
      </c>
      <c r="DEP68" s="59" t="s">
        <v>124</v>
      </c>
      <c r="DEQ68" s="59" t="s">
        <v>101</v>
      </c>
      <c r="DER68" s="56"/>
      <c r="DES68" s="57"/>
      <c r="DET68" s="57"/>
      <c r="DEU68" s="57"/>
      <c r="DEV68" s="57"/>
      <c r="DEW68" s="57"/>
      <c r="DEX68" s="57"/>
      <c r="DEY68" s="59" t="s">
        <v>77</v>
      </c>
      <c r="DEZ68" s="59" t="s">
        <v>78</v>
      </c>
      <c r="DFA68" s="59" t="s">
        <v>79</v>
      </c>
      <c r="DFB68" s="59" t="s">
        <v>80</v>
      </c>
      <c r="DFC68" s="59" t="s">
        <v>81</v>
      </c>
      <c r="DFD68" s="59" t="s">
        <v>64</v>
      </c>
      <c r="DFE68" s="59" t="s">
        <v>98</v>
      </c>
      <c r="DFF68" s="59" t="s">
        <v>124</v>
      </c>
      <c r="DFG68" s="59" t="s">
        <v>101</v>
      </c>
      <c r="DFH68" s="56"/>
      <c r="DFI68" s="57"/>
      <c r="DFJ68" s="57"/>
      <c r="DFK68" s="57"/>
      <c r="DFL68" s="57"/>
      <c r="DFM68" s="57"/>
      <c r="DFN68" s="57"/>
      <c r="DFO68" s="59" t="s">
        <v>77</v>
      </c>
      <c r="DFP68" s="59" t="s">
        <v>78</v>
      </c>
      <c r="DFQ68" s="59" t="s">
        <v>79</v>
      </c>
      <c r="DFR68" s="59" t="s">
        <v>80</v>
      </c>
      <c r="DFS68" s="59" t="s">
        <v>81</v>
      </c>
      <c r="DFT68" s="59" t="s">
        <v>64</v>
      </c>
      <c r="DFU68" s="59" t="s">
        <v>98</v>
      </c>
      <c r="DFV68" s="59" t="s">
        <v>124</v>
      </c>
      <c r="DFW68" s="59" t="s">
        <v>101</v>
      </c>
      <c r="DFX68" s="56"/>
      <c r="DFY68" s="57"/>
      <c r="DFZ68" s="57"/>
      <c r="DGA68" s="57"/>
      <c r="DGB68" s="57"/>
      <c r="DGC68" s="57"/>
      <c r="DGD68" s="57"/>
      <c r="DGE68" s="59" t="s">
        <v>77</v>
      </c>
      <c r="DGF68" s="59" t="s">
        <v>78</v>
      </c>
      <c r="DGG68" s="59" t="s">
        <v>79</v>
      </c>
      <c r="DGH68" s="59" t="s">
        <v>80</v>
      </c>
      <c r="DGI68" s="59" t="s">
        <v>81</v>
      </c>
      <c r="DGJ68" s="59" t="s">
        <v>64</v>
      </c>
      <c r="DGK68" s="59" t="s">
        <v>98</v>
      </c>
      <c r="DGL68" s="59" t="s">
        <v>124</v>
      </c>
      <c r="DGM68" s="59" t="s">
        <v>101</v>
      </c>
      <c r="DGN68" s="56"/>
      <c r="DGO68" s="57"/>
      <c r="DGP68" s="57"/>
      <c r="DGQ68" s="57"/>
      <c r="DGR68" s="57"/>
      <c r="DGS68" s="57"/>
      <c r="DGT68" s="57"/>
      <c r="DGU68" s="59" t="s">
        <v>77</v>
      </c>
      <c r="DGV68" s="59" t="s">
        <v>78</v>
      </c>
      <c r="DGW68" s="59" t="s">
        <v>79</v>
      </c>
      <c r="DGX68" s="59" t="s">
        <v>80</v>
      </c>
      <c r="DGY68" s="59" t="s">
        <v>81</v>
      </c>
      <c r="DGZ68" s="59" t="s">
        <v>64</v>
      </c>
      <c r="DHA68" s="59" t="s">
        <v>98</v>
      </c>
      <c r="DHB68" s="59" t="s">
        <v>124</v>
      </c>
      <c r="DHC68" s="59" t="s">
        <v>101</v>
      </c>
      <c r="DHD68" s="56"/>
      <c r="DHE68" s="57"/>
      <c r="DHF68" s="57"/>
      <c r="DHG68" s="57"/>
      <c r="DHH68" s="57"/>
      <c r="DHI68" s="57"/>
      <c r="DHJ68" s="57"/>
      <c r="DHK68" s="59" t="s">
        <v>77</v>
      </c>
      <c r="DHL68" s="59" t="s">
        <v>78</v>
      </c>
      <c r="DHM68" s="59" t="s">
        <v>79</v>
      </c>
      <c r="DHN68" s="59" t="s">
        <v>80</v>
      </c>
      <c r="DHO68" s="59" t="s">
        <v>81</v>
      </c>
      <c r="DHP68" s="59" t="s">
        <v>64</v>
      </c>
      <c r="DHQ68" s="59" t="s">
        <v>98</v>
      </c>
      <c r="DHR68" s="59" t="s">
        <v>124</v>
      </c>
      <c r="DHS68" s="59" t="s">
        <v>101</v>
      </c>
      <c r="DHT68" s="56"/>
      <c r="DHU68" s="57"/>
      <c r="DHV68" s="57"/>
      <c r="DHW68" s="57"/>
      <c r="DHX68" s="57"/>
      <c r="DHY68" s="57"/>
      <c r="DHZ68" s="57"/>
      <c r="DIA68" s="59" t="s">
        <v>77</v>
      </c>
      <c r="DIB68" s="59" t="s">
        <v>78</v>
      </c>
      <c r="DIC68" s="59" t="s">
        <v>79</v>
      </c>
      <c r="DID68" s="59" t="s">
        <v>80</v>
      </c>
      <c r="DIE68" s="59" t="s">
        <v>81</v>
      </c>
      <c r="DIF68" s="59" t="s">
        <v>64</v>
      </c>
      <c r="DIG68" s="59" t="s">
        <v>98</v>
      </c>
      <c r="DIH68" s="59" t="s">
        <v>124</v>
      </c>
      <c r="DII68" s="59" t="s">
        <v>101</v>
      </c>
      <c r="DIJ68" s="56"/>
      <c r="DIK68" s="57"/>
      <c r="DIL68" s="57"/>
      <c r="DIM68" s="57"/>
      <c r="DIN68" s="57"/>
      <c r="DIO68" s="57"/>
      <c r="DIP68" s="57"/>
      <c r="DIQ68" s="59" t="s">
        <v>77</v>
      </c>
      <c r="DIR68" s="59" t="s">
        <v>78</v>
      </c>
      <c r="DIS68" s="59" t="s">
        <v>79</v>
      </c>
      <c r="DIT68" s="59" t="s">
        <v>80</v>
      </c>
      <c r="DIU68" s="59" t="s">
        <v>81</v>
      </c>
      <c r="DIV68" s="59" t="s">
        <v>64</v>
      </c>
      <c r="DIW68" s="59" t="s">
        <v>98</v>
      </c>
      <c r="DIX68" s="59" t="s">
        <v>124</v>
      </c>
      <c r="DIY68" s="59" t="s">
        <v>101</v>
      </c>
      <c r="DIZ68" s="56"/>
      <c r="DJA68" s="57"/>
      <c r="DJB68" s="57"/>
      <c r="DJC68" s="57"/>
      <c r="DJD68" s="57"/>
      <c r="DJE68" s="57"/>
      <c r="DJF68" s="57"/>
      <c r="DJG68" s="59" t="s">
        <v>77</v>
      </c>
      <c r="DJH68" s="59" t="s">
        <v>78</v>
      </c>
      <c r="DJI68" s="59" t="s">
        <v>79</v>
      </c>
      <c r="DJJ68" s="59" t="s">
        <v>80</v>
      </c>
      <c r="DJK68" s="59" t="s">
        <v>81</v>
      </c>
      <c r="DJL68" s="59" t="s">
        <v>64</v>
      </c>
      <c r="DJM68" s="59" t="s">
        <v>98</v>
      </c>
      <c r="DJN68" s="59" t="s">
        <v>124</v>
      </c>
      <c r="DJO68" s="59" t="s">
        <v>101</v>
      </c>
      <c r="DJP68" s="56"/>
      <c r="DJQ68" s="57"/>
      <c r="DJR68" s="57"/>
      <c r="DJS68" s="57"/>
      <c r="DJT68" s="57"/>
      <c r="DJU68" s="57"/>
      <c r="DJV68" s="57"/>
      <c r="DJW68" s="59" t="s">
        <v>77</v>
      </c>
      <c r="DJX68" s="59" t="s">
        <v>78</v>
      </c>
      <c r="DJY68" s="59" t="s">
        <v>79</v>
      </c>
      <c r="DJZ68" s="59" t="s">
        <v>80</v>
      </c>
      <c r="DKA68" s="59" t="s">
        <v>81</v>
      </c>
      <c r="DKB68" s="59" t="s">
        <v>64</v>
      </c>
      <c r="DKC68" s="59" t="s">
        <v>98</v>
      </c>
      <c r="DKD68" s="59" t="s">
        <v>124</v>
      </c>
      <c r="DKE68" s="59" t="s">
        <v>101</v>
      </c>
      <c r="DKF68" s="56"/>
      <c r="DKG68" s="57"/>
      <c r="DKH68" s="57"/>
      <c r="DKI68" s="57"/>
      <c r="DKJ68" s="57"/>
      <c r="DKK68" s="57"/>
      <c r="DKL68" s="57"/>
      <c r="DKM68" s="59" t="s">
        <v>77</v>
      </c>
      <c r="DKN68" s="59" t="s">
        <v>78</v>
      </c>
      <c r="DKO68" s="59" t="s">
        <v>79</v>
      </c>
      <c r="DKP68" s="59" t="s">
        <v>80</v>
      </c>
      <c r="DKQ68" s="59" t="s">
        <v>81</v>
      </c>
      <c r="DKR68" s="59" t="s">
        <v>64</v>
      </c>
      <c r="DKS68" s="59" t="s">
        <v>98</v>
      </c>
      <c r="DKT68" s="59" t="s">
        <v>124</v>
      </c>
      <c r="DKU68" s="59" t="s">
        <v>101</v>
      </c>
      <c r="DKV68" s="56"/>
      <c r="DKW68" s="57"/>
      <c r="DKX68" s="57"/>
      <c r="DKY68" s="57"/>
      <c r="DKZ68" s="57"/>
      <c r="DLA68" s="57"/>
      <c r="DLB68" s="57"/>
      <c r="DLC68" s="59" t="s">
        <v>77</v>
      </c>
      <c r="DLD68" s="59" t="s">
        <v>78</v>
      </c>
      <c r="DLE68" s="59" t="s">
        <v>79</v>
      </c>
      <c r="DLF68" s="59" t="s">
        <v>80</v>
      </c>
      <c r="DLG68" s="59" t="s">
        <v>81</v>
      </c>
      <c r="DLH68" s="59" t="s">
        <v>64</v>
      </c>
      <c r="DLI68" s="59" t="s">
        <v>98</v>
      </c>
      <c r="DLJ68" s="59" t="s">
        <v>124</v>
      </c>
      <c r="DLK68" s="59" t="s">
        <v>101</v>
      </c>
      <c r="DLL68" s="56"/>
      <c r="DLM68" s="57"/>
      <c r="DLN68" s="57"/>
      <c r="DLO68" s="57"/>
      <c r="DLP68" s="57"/>
      <c r="DLQ68" s="57"/>
      <c r="DLR68" s="57"/>
      <c r="DLS68" s="59" t="s">
        <v>77</v>
      </c>
      <c r="DLT68" s="59" t="s">
        <v>78</v>
      </c>
      <c r="DLU68" s="59" t="s">
        <v>79</v>
      </c>
      <c r="DLV68" s="59" t="s">
        <v>80</v>
      </c>
      <c r="DLW68" s="59" t="s">
        <v>81</v>
      </c>
      <c r="DLX68" s="59" t="s">
        <v>64</v>
      </c>
      <c r="DLY68" s="59" t="s">
        <v>98</v>
      </c>
      <c r="DLZ68" s="59" t="s">
        <v>124</v>
      </c>
      <c r="DMA68" s="59" t="s">
        <v>101</v>
      </c>
      <c r="DMB68" s="56"/>
      <c r="DMC68" s="57"/>
      <c r="DMD68" s="57"/>
      <c r="DME68" s="57"/>
      <c r="DMF68" s="57"/>
      <c r="DMG68" s="57"/>
      <c r="DMH68" s="57"/>
      <c r="DMI68" s="59" t="s">
        <v>77</v>
      </c>
      <c r="DMJ68" s="59" t="s">
        <v>78</v>
      </c>
      <c r="DMK68" s="59" t="s">
        <v>79</v>
      </c>
      <c r="DML68" s="59" t="s">
        <v>80</v>
      </c>
      <c r="DMM68" s="59" t="s">
        <v>81</v>
      </c>
      <c r="DMN68" s="59" t="s">
        <v>64</v>
      </c>
      <c r="DMO68" s="59" t="s">
        <v>98</v>
      </c>
      <c r="DMP68" s="59" t="s">
        <v>124</v>
      </c>
      <c r="DMQ68" s="59" t="s">
        <v>101</v>
      </c>
      <c r="DMR68" s="56"/>
      <c r="DMS68" s="57"/>
      <c r="DMT68" s="57"/>
      <c r="DMU68" s="57"/>
      <c r="DMV68" s="57"/>
      <c r="DMW68" s="57"/>
      <c r="DMX68" s="57"/>
      <c r="DMY68" s="59" t="s">
        <v>77</v>
      </c>
      <c r="DMZ68" s="59" t="s">
        <v>78</v>
      </c>
      <c r="DNA68" s="59" t="s">
        <v>79</v>
      </c>
      <c r="DNB68" s="59" t="s">
        <v>80</v>
      </c>
      <c r="DNC68" s="59" t="s">
        <v>81</v>
      </c>
      <c r="DND68" s="59" t="s">
        <v>64</v>
      </c>
      <c r="DNE68" s="59" t="s">
        <v>98</v>
      </c>
      <c r="DNF68" s="59" t="s">
        <v>124</v>
      </c>
      <c r="DNG68" s="59" t="s">
        <v>101</v>
      </c>
      <c r="DNH68" s="56"/>
      <c r="DNI68" s="57"/>
      <c r="DNJ68" s="57"/>
      <c r="DNK68" s="57"/>
      <c r="DNL68" s="57"/>
      <c r="DNM68" s="57"/>
      <c r="DNN68" s="57"/>
      <c r="DNO68" s="59" t="s">
        <v>77</v>
      </c>
      <c r="DNP68" s="59" t="s">
        <v>78</v>
      </c>
      <c r="DNQ68" s="59" t="s">
        <v>79</v>
      </c>
      <c r="DNR68" s="59" t="s">
        <v>80</v>
      </c>
      <c r="DNS68" s="59" t="s">
        <v>81</v>
      </c>
      <c r="DNT68" s="59" t="s">
        <v>64</v>
      </c>
      <c r="DNU68" s="59" t="s">
        <v>98</v>
      </c>
      <c r="DNV68" s="59" t="s">
        <v>124</v>
      </c>
      <c r="DNW68" s="59" t="s">
        <v>101</v>
      </c>
      <c r="DNX68" s="56"/>
      <c r="DNY68" s="57"/>
      <c r="DNZ68" s="57"/>
      <c r="DOA68" s="57"/>
      <c r="DOB68" s="57"/>
      <c r="DOC68" s="57"/>
      <c r="DOD68" s="57"/>
      <c r="DOE68" s="59" t="s">
        <v>77</v>
      </c>
      <c r="DOF68" s="59" t="s">
        <v>78</v>
      </c>
      <c r="DOG68" s="59" t="s">
        <v>79</v>
      </c>
      <c r="DOH68" s="59" t="s">
        <v>80</v>
      </c>
      <c r="DOI68" s="59" t="s">
        <v>81</v>
      </c>
      <c r="DOJ68" s="59" t="s">
        <v>64</v>
      </c>
      <c r="DOK68" s="59" t="s">
        <v>98</v>
      </c>
      <c r="DOL68" s="59" t="s">
        <v>124</v>
      </c>
      <c r="DOM68" s="59" t="s">
        <v>101</v>
      </c>
      <c r="DON68" s="56"/>
      <c r="DOO68" s="57"/>
      <c r="DOP68" s="57"/>
      <c r="DOQ68" s="57"/>
      <c r="DOR68" s="57"/>
      <c r="DOS68" s="57"/>
      <c r="DOT68" s="57"/>
      <c r="DOU68" s="59" t="s">
        <v>77</v>
      </c>
      <c r="DOV68" s="59" t="s">
        <v>78</v>
      </c>
      <c r="DOW68" s="59" t="s">
        <v>79</v>
      </c>
      <c r="DOX68" s="59" t="s">
        <v>80</v>
      </c>
      <c r="DOY68" s="59" t="s">
        <v>81</v>
      </c>
      <c r="DOZ68" s="59" t="s">
        <v>64</v>
      </c>
      <c r="DPA68" s="59" t="s">
        <v>98</v>
      </c>
      <c r="DPB68" s="59" t="s">
        <v>124</v>
      </c>
      <c r="DPC68" s="59" t="s">
        <v>101</v>
      </c>
      <c r="DPD68" s="56"/>
      <c r="DPE68" s="57"/>
      <c r="DPF68" s="57"/>
      <c r="DPG68" s="57"/>
      <c r="DPH68" s="57"/>
      <c r="DPI68" s="57"/>
      <c r="DPJ68" s="57"/>
      <c r="DPK68" s="59" t="s">
        <v>77</v>
      </c>
      <c r="DPL68" s="59" t="s">
        <v>78</v>
      </c>
      <c r="DPM68" s="59" t="s">
        <v>79</v>
      </c>
      <c r="DPN68" s="59" t="s">
        <v>80</v>
      </c>
      <c r="DPO68" s="59" t="s">
        <v>81</v>
      </c>
      <c r="DPP68" s="59" t="s">
        <v>64</v>
      </c>
      <c r="DPQ68" s="59" t="s">
        <v>98</v>
      </c>
      <c r="DPR68" s="59" t="s">
        <v>124</v>
      </c>
      <c r="DPS68" s="59" t="s">
        <v>101</v>
      </c>
      <c r="DPT68" s="56"/>
      <c r="DPU68" s="57"/>
      <c r="DPV68" s="57"/>
      <c r="DPW68" s="57"/>
      <c r="DPX68" s="57"/>
      <c r="DPY68" s="57"/>
      <c r="DPZ68" s="57"/>
      <c r="DQA68" s="59" t="s">
        <v>77</v>
      </c>
      <c r="DQB68" s="59" t="s">
        <v>78</v>
      </c>
      <c r="DQC68" s="59" t="s">
        <v>79</v>
      </c>
      <c r="DQD68" s="59" t="s">
        <v>80</v>
      </c>
      <c r="DQE68" s="59" t="s">
        <v>81</v>
      </c>
      <c r="DQF68" s="59" t="s">
        <v>64</v>
      </c>
      <c r="DQG68" s="59" t="s">
        <v>98</v>
      </c>
      <c r="DQH68" s="59" t="s">
        <v>124</v>
      </c>
      <c r="DQI68" s="59" t="s">
        <v>101</v>
      </c>
      <c r="DQJ68" s="56"/>
      <c r="DQK68" s="57"/>
      <c r="DQL68" s="57"/>
      <c r="DQM68" s="57"/>
      <c r="DQN68" s="57"/>
      <c r="DQO68" s="57"/>
      <c r="DQP68" s="57"/>
      <c r="DQQ68" s="59" t="s">
        <v>77</v>
      </c>
      <c r="DQR68" s="59" t="s">
        <v>78</v>
      </c>
      <c r="DQS68" s="59" t="s">
        <v>79</v>
      </c>
      <c r="DQT68" s="59" t="s">
        <v>80</v>
      </c>
      <c r="DQU68" s="59" t="s">
        <v>81</v>
      </c>
      <c r="DQV68" s="59" t="s">
        <v>64</v>
      </c>
      <c r="DQW68" s="59" t="s">
        <v>98</v>
      </c>
      <c r="DQX68" s="59" t="s">
        <v>124</v>
      </c>
      <c r="DQY68" s="59" t="s">
        <v>101</v>
      </c>
      <c r="DQZ68" s="56"/>
      <c r="DRA68" s="57"/>
      <c r="DRB68" s="57"/>
      <c r="DRC68" s="57"/>
      <c r="DRD68" s="57"/>
      <c r="DRE68" s="57"/>
      <c r="DRF68" s="57"/>
      <c r="DRG68" s="59" t="s">
        <v>77</v>
      </c>
      <c r="DRH68" s="59" t="s">
        <v>78</v>
      </c>
      <c r="DRI68" s="59" t="s">
        <v>79</v>
      </c>
      <c r="DRJ68" s="59" t="s">
        <v>80</v>
      </c>
      <c r="DRK68" s="59" t="s">
        <v>81</v>
      </c>
      <c r="DRL68" s="59" t="s">
        <v>64</v>
      </c>
      <c r="DRM68" s="59" t="s">
        <v>98</v>
      </c>
      <c r="DRN68" s="59" t="s">
        <v>124</v>
      </c>
      <c r="DRO68" s="59" t="s">
        <v>101</v>
      </c>
      <c r="DRP68" s="56"/>
      <c r="DRQ68" s="57"/>
      <c r="DRR68" s="57"/>
      <c r="DRS68" s="57"/>
      <c r="DRT68" s="57"/>
      <c r="DRU68" s="57"/>
      <c r="DRV68" s="57"/>
      <c r="DRW68" s="59" t="s">
        <v>77</v>
      </c>
      <c r="DRX68" s="59" t="s">
        <v>78</v>
      </c>
      <c r="DRY68" s="59" t="s">
        <v>79</v>
      </c>
      <c r="DRZ68" s="59" t="s">
        <v>80</v>
      </c>
      <c r="DSA68" s="59" t="s">
        <v>81</v>
      </c>
      <c r="DSB68" s="59" t="s">
        <v>64</v>
      </c>
      <c r="DSC68" s="59" t="s">
        <v>98</v>
      </c>
      <c r="DSD68" s="59" t="s">
        <v>124</v>
      </c>
      <c r="DSE68" s="59" t="s">
        <v>101</v>
      </c>
      <c r="DSF68" s="56"/>
      <c r="DSG68" s="57"/>
      <c r="DSH68" s="57"/>
      <c r="DSI68" s="57"/>
      <c r="DSJ68" s="57"/>
      <c r="DSK68" s="57"/>
      <c r="DSL68" s="57"/>
      <c r="DSM68" s="59" t="s">
        <v>77</v>
      </c>
      <c r="DSN68" s="59" t="s">
        <v>78</v>
      </c>
      <c r="DSO68" s="59" t="s">
        <v>79</v>
      </c>
      <c r="DSP68" s="59" t="s">
        <v>80</v>
      </c>
      <c r="DSQ68" s="59" t="s">
        <v>81</v>
      </c>
      <c r="DSR68" s="59" t="s">
        <v>64</v>
      </c>
      <c r="DSS68" s="59" t="s">
        <v>98</v>
      </c>
      <c r="DST68" s="59" t="s">
        <v>124</v>
      </c>
      <c r="DSU68" s="59" t="s">
        <v>101</v>
      </c>
      <c r="DSV68" s="56"/>
      <c r="DSW68" s="57"/>
      <c r="DSX68" s="57"/>
      <c r="DSY68" s="57"/>
      <c r="DSZ68" s="57"/>
      <c r="DTA68" s="57"/>
      <c r="DTB68" s="57"/>
      <c r="DTC68" s="59" t="s">
        <v>77</v>
      </c>
      <c r="DTD68" s="59" t="s">
        <v>78</v>
      </c>
      <c r="DTE68" s="59" t="s">
        <v>79</v>
      </c>
      <c r="DTF68" s="59" t="s">
        <v>80</v>
      </c>
      <c r="DTG68" s="59" t="s">
        <v>81</v>
      </c>
      <c r="DTH68" s="59" t="s">
        <v>64</v>
      </c>
      <c r="DTI68" s="59" t="s">
        <v>98</v>
      </c>
      <c r="DTJ68" s="59" t="s">
        <v>124</v>
      </c>
      <c r="DTK68" s="59" t="s">
        <v>101</v>
      </c>
      <c r="DTL68" s="56"/>
      <c r="DTM68" s="57"/>
      <c r="DTN68" s="57"/>
      <c r="DTO68" s="57"/>
      <c r="DTP68" s="57"/>
      <c r="DTQ68" s="57"/>
      <c r="DTR68" s="57"/>
      <c r="DTS68" s="59" t="s">
        <v>77</v>
      </c>
      <c r="DTT68" s="59" t="s">
        <v>78</v>
      </c>
      <c r="DTU68" s="59" t="s">
        <v>79</v>
      </c>
      <c r="DTV68" s="59" t="s">
        <v>80</v>
      </c>
      <c r="DTW68" s="59" t="s">
        <v>81</v>
      </c>
      <c r="DTX68" s="59" t="s">
        <v>64</v>
      </c>
      <c r="DTY68" s="59" t="s">
        <v>98</v>
      </c>
      <c r="DTZ68" s="59" t="s">
        <v>124</v>
      </c>
      <c r="DUA68" s="59" t="s">
        <v>101</v>
      </c>
      <c r="DUB68" s="56"/>
      <c r="DUC68" s="57"/>
      <c r="DUD68" s="57"/>
      <c r="DUE68" s="57"/>
      <c r="DUF68" s="57"/>
      <c r="DUG68" s="57"/>
      <c r="DUH68" s="57"/>
      <c r="DUI68" s="59" t="s">
        <v>77</v>
      </c>
      <c r="DUJ68" s="59" t="s">
        <v>78</v>
      </c>
      <c r="DUK68" s="59" t="s">
        <v>79</v>
      </c>
      <c r="DUL68" s="59" t="s">
        <v>80</v>
      </c>
      <c r="DUM68" s="59" t="s">
        <v>81</v>
      </c>
      <c r="DUN68" s="59" t="s">
        <v>64</v>
      </c>
      <c r="DUO68" s="59" t="s">
        <v>98</v>
      </c>
      <c r="DUP68" s="59" t="s">
        <v>124</v>
      </c>
      <c r="DUQ68" s="59" t="s">
        <v>101</v>
      </c>
      <c r="DUR68" s="56"/>
      <c r="DUS68" s="57"/>
      <c r="DUT68" s="57"/>
      <c r="DUU68" s="57"/>
      <c r="DUV68" s="57"/>
      <c r="DUW68" s="57"/>
      <c r="DUX68" s="57"/>
      <c r="DUY68" s="59" t="s">
        <v>77</v>
      </c>
      <c r="DUZ68" s="59" t="s">
        <v>78</v>
      </c>
      <c r="DVA68" s="59" t="s">
        <v>79</v>
      </c>
      <c r="DVB68" s="59" t="s">
        <v>80</v>
      </c>
      <c r="DVC68" s="59" t="s">
        <v>81</v>
      </c>
      <c r="DVD68" s="59" t="s">
        <v>64</v>
      </c>
      <c r="DVE68" s="59" t="s">
        <v>98</v>
      </c>
      <c r="DVF68" s="59" t="s">
        <v>124</v>
      </c>
      <c r="DVG68" s="59" t="s">
        <v>101</v>
      </c>
      <c r="DVH68" s="56"/>
      <c r="DVI68" s="57"/>
      <c r="DVJ68" s="57"/>
      <c r="DVK68" s="57"/>
      <c r="DVL68" s="57"/>
      <c r="DVM68" s="57"/>
      <c r="DVN68" s="57"/>
      <c r="DVO68" s="59" t="s">
        <v>77</v>
      </c>
      <c r="DVP68" s="59" t="s">
        <v>78</v>
      </c>
      <c r="DVQ68" s="59" t="s">
        <v>79</v>
      </c>
      <c r="DVR68" s="59" t="s">
        <v>80</v>
      </c>
      <c r="DVS68" s="59" t="s">
        <v>81</v>
      </c>
      <c r="DVT68" s="59" t="s">
        <v>64</v>
      </c>
      <c r="DVU68" s="59" t="s">
        <v>98</v>
      </c>
      <c r="DVV68" s="59" t="s">
        <v>124</v>
      </c>
      <c r="DVW68" s="59" t="s">
        <v>101</v>
      </c>
      <c r="DVX68" s="56"/>
      <c r="DVY68" s="57"/>
      <c r="DVZ68" s="57"/>
      <c r="DWA68" s="57"/>
      <c r="DWB68" s="57"/>
      <c r="DWC68" s="57"/>
      <c r="DWD68" s="57"/>
      <c r="DWE68" s="59" t="s">
        <v>77</v>
      </c>
      <c r="DWF68" s="59" t="s">
        <v>78</v>
      </c>
      <c r="DWG68" s="59" t="s">
        <v>79</v>
      </c>
      <c r="DWH68" s="59" t="s">
        <v>80</v>
      </c>
      <c r="DWI68" s="59" t="s">
        <v>81</v>
      </c>
      <c r="DWJ68" s="59" t="s">
        <v>64</v>
      </c>
      <c r="DWK68" s="59" t="s">
        <v>98</v>
      </c>
      <c r="DWL68" s="59" t="s">
        <v>124</v>
      </c>
      <c r="DWM68" s="59" t="s">
        <v>101</v>
      </c>
      <c r="DWN68" s="56"/>
      <c r="DWO68" s="57"/>
      <c r="DWP68" s="57"/>
      <c r="DWQ68" s="57"/>
      <c r="DWR68" s="57"/>
      <c r="DWS68" s="57"/>
      <c r="DWT68" s="57"/>
      <c r="DWU68" s="59" t="s">
        <v>77</v>
      </c>
      <c r="DWV68" s="59" t="s">
        <v>78</v>
      </c>
      <c r="DWW68" s="59" t="s">
        <v>79</v>
      </c>
      <c r="DWX68" s="59" t="s">
        <v>80</v>
      </c>
      <c r="DWY68" s="59" t="s">
        <v>81</v>
      </c>
      <c r="DWZ68" s="59" t="s">
        <v>64</v>
      </c>
      <c r="DXA68" s="59" t="s">
        <v>98</v>
      </c>
      <c r="DXB68" s="59" t="s">
        <v>124</v>
      </c>
      <c r="DXC68" s="59" t="s">
        <v>101</v>
      </c>
      <c r="DXD68" s="56"/>
      <c r="DXE68" s="57"/>
      <c r="DXF68" s="57"/>
      <c r="DXG68" s="57"/>
      <c r="DXH68" s="57"/>
      <c r="DXI68" s="57"/>
      <c r="DXJ68" s="57"/>
      <c r="DXK68" s="59" t="s">
        <v>77</v>
      </c>
      <c r="DXL68" s="59" t="s">
        <v>78</v>
      </c>
      <c r="DXM68" s="59" t="s">
        <v>79</v>
      </c>
      <c r="DXN68" s="59" t="s">
        <v>80</v>
      </c>
      <c r="DXO68" s="59" t="s">
        <v>81</v>
      </c>
      <c r="DXP68" s="59" t="s">
        <v>64</v>
      </c>
      <c r="DXQ68" s="59" t="s">
        <v>98</v>
      </c>
      <c r="DXR68" s="59" t="s">
        <v>124</v>
      </c>
      <c r="DXS68" s="59" t="s">
        <v>101</v>
      </c>
      <c r="DXT68" s="56"/>
      <c r="DXU68" s="57"/>
      <c r="DXV68" s="57"/>
      <c r="DXW68" s="57"/>
      <c r="DXX68" s="57"/>
      <c r="DXY68" s="57"/>
      <c r="DXZ68" s="57"/>
      <c r="DYA68" s="59" t="s">
        <v>77</v>
      </c>
      <c r="DYB68" s="59" t="s">
        <v>78</v>
      </c>
      <c r="DYC68" s="59" t="s">
        <v>79</v>
      </c>
      <c r="DYD68" s="59" t="s">
        <v>80</v>
      </c>
      <c r="DYE68" s="59" t="s">
        <v>81</v>
      </c>
      <c r="DYF68" s="59" t="s">
        <v>64</v>
      </c>
      <c r="DYG68" s="59" t="s">
        <v>98</v>
      </c>
      <c r="DYH68" s="59" t="s">
        <v>124</v>
      </c>
      <c r="DYI68" s="59" t="s">
        <v>101</v>
      </c>
      <c r="DYJ68" s="56"/>
      <c r="DYK68" s="57"/>
      <c r="DYL68" s="57"/>
      <c r="DYM68" s="57"/>
      <c r="DYN68" s="57"/>
      <c r="DYO68" s="57"/>
      <c r="DYP68" s="57"/>
      <c r="DYQ68" s="59" t="s">
        <v>77</v>
      </c>
      <c r="DYR68" s="59" t="s">
        <v>78</v>
      </c>
      <c r="DYS68" s="59" t="s">
        <v>79</v>
      </c>
      <c r="DYT68" s="59" t="s">
        <v>80</v>
      </c>
      <c r="DYU68" s="59" t="s">
        <v>81</v>
      </c>
      <c r="DYV68" s="59" t="s">
        <v>64</v>
      </c>
      <c r="DYW68" s="59" t="s">
        <v>98</v>
      </c>
      <c r="DYX68" s="59" t="s">
        <v>124</v>
      </c>
      <c r="DYY68" s="59" t="s">
        <v>101</v>
      </c>
      <c r="DYZ68" s="56"/>
      <c r="DZA68" s="57"/>
      <c r="DZB68" s="57"/>
      <c r="DZC68" s="57"/>
      <c r="DZD68" s="57"/>
      <c r="DZE68" s="57"/>
      <c r="DZF68" s="57"/>
      <c r="DZG68" s="59" t="s">
        <v>77</v>
      </c>
      <c r="DZH68" s="59" t="s">
        <v>78</v>
      </c>
      <c r="DZI68" s="59" t="s">
        <v>79</v>
      </c>
      <c r="DZJ68" s="59" t="s">
        <v>80</v>
      </c>
      <c r="DZK68" s="59" t="s">
        <v>81</v>
      </c>
      <c r="DZL68" s="59" t="s">
        <v>64</v>
      </c>
      <c r="DZM68" s="59" t="s">
        <v>98</v>
      </c>
      <c r="DZN68" s="59" t="s">
        <v>124</v>
      </c>
      <c r="DZO68" s="59" t="s">
        <v>101</v>
      </c>
      <c r="DZP68" s="56"/>
      <c r="DZQ68" s="57"/>
      <c r="DZR68" s="57"/>
      <c r="DZS68" s="57"/>
      <c r="DZT68" s="57"/>
      <c r="DZU68" s="57"/>
      <c r="DZV68" s="57"/>
      <c r="DZW68" s="59" t="s">
        <v>77</v>
      </c>
      <c r="DZX68" s="59" t="s">
        <v>78</v>
      </c>
      <c r="DZY68" s="59" t="s">
        <v>79</v>
      </c>
      <c r="DZZ68" s="59" t="s">
        <v>80</v>
      </c>
      <c r="EAA68" s="59" t="s">
        <v>81</v>
      </c>
      <c r="EAB68" s="59" t="s">
        <v>64</v>
      </c>
      <c r="EAC68" s="59" t="s">
        <v>98</v>
      </c>
      <c r="EAD68" s="59" t="s">
        <v>124</v>
      </c>
      <c r="EAE68" s="59" t="s">
        <v>101</v>
      </c>
      <c r="EAF68" s="56"/>
      <c r="EAG68" s="57"/>
      <c r="EAH68" s="57"/>
      <c r="EAI68" s="57"/>
      <c r="EAJ68" s="57"/>
      <c r="EAK68" s="57"/>
      <c r="EAL68" s="57"/>
      <c r="EAM68" s="59" t="s">
        <v>77</v>
      </c>
      <c r="EAN68" s="59" t="s">
        <v>78</v>
      </c>
      <c r="EAO68" s="59" t="s">
        <v>79</v>
      </c>
      <c r="EAP68" s="59" t="s">
        <v>80</v>
      </c>
      <c r="EAQ68" s="59" t="s">
        <v>81</v>
      </c>
      <c r="EAR68" s="59" t="s">
        <v>64</v>
      </c>
      <c r="EAS68" s="59" t="s">
        <v>98</v>
      </c>
      <c r="EAT68" s="59" t="s">
        <v>124</v>
      </c>
      <c r="EAU68" s="59" t="s">
        <v>101</v>
      </c>
      <c r="EAV68" s="56"/>
      <c r="EAW68" s="57"/>
      <c r="EAX68" s="57"/>
      <c r="EAY68" s="57"/>
      <c r="EAZ68" s="57"/>
      <c r="EBA68" s="57"/>
      <c r="EBB68" s="57"/>
      <c r="EBC68" s="59" t="s">
        <v>77</v>
      </c>
      <c r="EBD68" s="59" t="s">
        <v>78</v>
      </c>
      <c r="EBE68" s="59" t="s">
        <v>79</v>
      </c>
      <c r="EBF68" s="59" t="s">
        <v>80</v>
      </c>
      <c r="EBG68" s="59" t="s">
        <v>81</v>
      </c>
      <c r="EBH68" s="59" t="s">
        <v>64</v>
      </c>
      <c r="EBI68" s="59" t="s">
        <v>98</v>
      </c>
      <c r="EBJ68" s="59" t="s">
        <v>124</v>
      </c>
      <c r="EBK68" s="59" t="s">
        <v>101</v>
      </c>
      <c r="EBL68" s="56"/>
      <c r="EBM68" s="57"/>
      <c r="EBN68" s="57"/>
      <c r="EBO68" s="57"/>
      <c r="EBP68" s="57"/>
      <c r="EBQ68" s="57"/>
      <c r="EBR68" s="57"/>
      <c r="EBS68" s="59" t="s">
        <v>77</v>
      </c>
      <c r="EBT68" s="59" t="s">
        <v>78</v>
      </c>
      <c r="EBU68" s="59" t="s">
        <v>79</v>
      </c>
      <c r="EBV68" s="59" t="s">
        <v>80</v>
      </c>
      <c r="EBW68" s="59" t="s">
        <v>81</v>
      </c>
      <c r="EBX68" s="59" t="s">
        <v>64</v>
      </c>
      <c r="EBY68" s="59" t="s">
        <v>98</v>
      </c>
      <c r="EBZ68" s="59" t="s">
        <v>124</v>
      </c>
      <c r="ECA68" s="59" t="s">
        <v>101</v>
      </c>
      <c r="ECB68" s="56"/>
      <c r="ECC68" s="57"/>
      <c r="ECD68" s="57"/>
      <c r="ECE68" s="57"/>
      <c r="ECF68" s="57"/>
      <c r="ECG68" s="57"/>
      <c r="ECH68" s="57"/>
      <c r="ECI68" s="59" t="s">
        <v>77</v>
      </c>
      <c r="ECJ68" s="59" t="s">
        <v>78</v>
      </c>
      <c r="ECK68" s="59" t="s">
        <v>79</v>
      </c>
      <c r="ECL68" s="59" t="s">
        <v>80</v>
      </c>
      <c r="ECM68" s="59" t="s">
        <v>81</v>
      </c>
      <c r="ECN68" s="59" t="s">
        <v>64</v>
      </c>
      <c r="ECO68" s="59" t="s">
        <v>98</v>
      </c>
      <c r="ECP68" s="59" t="s">
        <v>124</v>
      </c>
      <c r="ECQ68" s="59" t="s">
        <v>101</v>
      </c>
      <c r="ECR68" s="56"/>
      <c r="ECS68" s="57"/>
      <c r="ECT68" s="57"/>
      <c r="ECU68" s="57"/>
      <c r="ECV68" s="57"/>
      <c r="ECW68" s="57"/>
      <c r="ECX68" s="57"/>
      <c r="ECY68" s="59" t="s">
        <v>77</v>
      </c>
      <c r="ECZ68" s="59" t="s">
        <v>78</v>
      </c>
      <c r="EDA68" s="59" t="s">
        <v>79</v>
      </c>
      <c r="EDB68" s="59" t="s">
        <v>80</v>
      </c>
      <c r="EDC68" s="59" t="s">
        <v>81</v>
      </c>
      <c r="EDD68" s="59" t="s">
        <v>64</v>
      </c>
      <c r="EDE68" s="59" t="s">
        <v>98</v>
      </c>
      <c r="EDF68" s="59" t="s">
        <v>124</v>
      </c>
      <c r="EDG68" s="59" t="s">
        <v>101</v>
      </c>
      <c r="EDH68" s="56"/>
      <c r="EDI68" s="57"/>
      <c r="EDJ68" s="57"/>
      <c r="EDK68" s="57"/>
      <c r="EDL68" s="57"/>
      <c r="EDM68" s="57"/>
      <c r="EDN68" s="57"/>
      <c r="EDO68" s="59" t="s">
        <v>77</v>
      </c>
      <c r="EDP68" s="59" t="s">
        <v>78</v>
      </c>
      <c r="EDQ68" s="59" t="s">
        <v>79</v>
      </c>
      <c r="EDR68" s="59" t="s">
        <v>80</v>
      </c>
      <c r="EDS68" s="59" t="s">
        <v>81</v>
      </c>
      <c r="EDT68" s="59" t="s">
        <v>64</v>
      </c>
      <c r="EDU68" s="59" t="s">
        <v>98</v>
      </c>
      <c r="EDV68" s="59" t="s">
        <v>124</v>
      </c>
      <c r="EDW68" s="59" t="s">
        <v>101</v>
      </c>
      <c r="EDX68" s="56"/>
      <c r="EDY68" s="57"/>
      <c r="EDZ68" s="57"/>
      <c r="EEA68" s="57"/>
      <c r="EEB68" s="57"/>
      <c r="EEC68" s="57"/>
      <c r="EED68" s="57"/>
      <c r="EEE68" s="59" t="s">
        <v>77</v>
      </c>
      <c r="EEF68" s="59" t="s">
        <v>78</v>
      </c>
      <c r="EEG68" s="59" t="s">
        <v>79</v>
      </c>
      <c r="EEH68" s="59" t="s">
        <v>80</v>
      </c>
      <c r="EEI68" s="59" t="s">
        <v>81</v>
      </c>
      <c r="EEJ68" s="59" t="s">
        <v>64</v>
      </c>
      <c r="EEK68" s="59" t="s">
        <v>98</v>
      </c>
      <c r="EEL68" s="59" t="s">
        <v>124</v>
      </c>
      <c r="EEM68" s="59" t="s">
        <v>101</v>
      </c>
      <c r="EEN68" s="56"/>
      <c r="EEO68" s="57"/>
      <c r="EEP68" s="57"/>
      <c r="EEQ68" s="57"/>
      <c r="EER68" s="57"/>
      <c r="EES68" s="57"/>
      <c r="EET68" s="57"/>
      <c r="EEU68" s="59" t="s">
        <v>77</v>
      </c>
      <c r="EEV68" s="59" t="s">
        <v>78</v>
      </c>
      <c r="EEW68" s="59" t="s">
        <v>79</v>
      </c>
      <c r="EEX68" s="59" t="s">
        <v>80</v>
      </c>
      <c r="EEY68" s="59" t="s">
        <v>81</v>
      </c>
      <c r="EEZ68" s="59" t="s">
        <v>64</v>
      </c>
      <c r="EFA68" s="59" t="s">
        <v>98</v>
      </c>
      <c r="EFB68" s="59" t="s">
        <v>124</v>
      </c>
      <c r="EFC68" s="59" t="s">
        <v>101</v>
      </c>
      <c r="EFD68" s="56"/>
      <c r="EFE68" s="57"/>
      <c r="EFF68" s="57"/>
      <c r="EFG68" s="57"/>
      <c r="EFH68" s="57"/>
      <c r="EFI68" s="57"/>
      <c r="EFJ68" s="57"/>
      <c r="EFK68" s="59" t="s">
        <v>77</v>
      </c>
      <c r="EFL68" s="59" t="s">
        <v>78</v>
      </c>
      <c r="EFM68" s="59" t="s">
        <v>79</v>
      </c>
      <c r="EFN68" s="59" t="s">
        <v>80</v>
      </c>
      <c r="EFO68" s="59" t="s">
        <v>81</v>
      </c>
      <c r="EFP68" s="59" t="s">
        <v>64</v>
      </c>
      <c r="EFQ68" s="59" t="s">
        <v>98</v>
      </c>
      <c r="EFR68" s="59" t="s">
        <v>124</v>
      </c>
      <c r="EFS68" s="59" t="s">
        <v>101</v>
      </c>
      <c r="EFT68" s="56"/>
      <c r="EFU68" s="57"/>
      <c r="EFV68" s="57"/>
      <c r="EFW68" s="57"/>
      <c r="EFX68" s="57"/>
      <c r="EFY68" s="57"/>
      <c r="EFZ68" s="57"/>
      <c r="EGA68" s="59" t="s">
        <v>77</v>
      </c>
      <c r="EGB68" s="59" t="s">
        <v>78</v>
      </c>
      <c r="EGC68" s="59" t="s">
        <v>79</v>
      </c>
      <c r="EGD68" s="59" t="s">
        <v>80</v>
      </c>
      <c r="EGE68" s="59" t="s">
        <v>81</v>
      </c>
      <c r="EGF68" s="59" t="s">
        <v>64</v>
      </c>
      <c r="EGG68" s="59" t="s">
        <v>98</v>
      </c>
      <c r="EGH68" s="59" t="s">
        <v>124</v>
      </c>
      <c r="EGI68" s="59" t="s">
        <v>101</v>
      </c>
      <c r="EGJ68" s="56"/>
      <c r="EGK68" s="57"/>
      <c r="EGL68" s="57"/>
      <c r="EGM68" s="57"/>
      <c r="EGN68" s="57"/>
      <c r="EGO68" s="57"/>
      <c r="EGP68" s="57"/>
      <c r="EGQ68" s="59" t="s">
        <v>77</v>
      </c>
      <c r="EGR68" s="59" t="s">
        <v>78</v>
      </c>
      <c r="EGS68" s="59" t="s">
        <v>79</v>
      </c>
      <c r="EGT68" s="59" t="s">
        <v>80</v>
      </c>
      <c r="EGU68" s="59" t="s">
        <v>81</v>
      </c>
      <c r="EGV68" s="59" t="s">
        <v>64</v>
      </c>
      <c r="EGW68" s="59" t="s">
        <v>98</v>
      </c>
      <c r="EGX68" s="59" t="s">
        <v>124</v>
      </c>
      <c r="EGY68" s="59" t="s">
        <v>101</v>
      </c>
      <c r="EGZ68" s="56"/>
      <c r="EHA68" s="57"/>
      <c r="EHB68" s="57"/>
      <c r="EHC68" s="57"/>
      <c r="EHD68" s="57"/>
      <c r="EHE68" s="57"/>
      <c r="EHF68" s="57"/>
      <c r="EHG68" s="59" t="s">
        <v>77</v>
      </c>
      <c r="EHH68" s="59" t="s">
        <v>78</v>
      </c>
      <c r="EHI68" s="59" t="s">
        <v>79</v>
      </c>
      <c r="EHJ68" s="59" t="s">
        <v>80</v>
      </c>
      <c r="EHK68" s="59" t="s">
        <v>81</v>
      </c>
      <c r="EHL68" s="59" t="s">
        <v>64</v>
      </c>
      <c r="EHM68" s="59" t="s">
        <v>98</v>
      </c>
      <c r="EHN68" s="59" t="s">
        <v>124</v>
      </c>
      <c r="EHO68" s="59" t="s">
        <v>101</v>
      </c>
      <c r="EHP68" s="56"/>
      <c r="EHQ68" s="57"/>
      <c r="EHR68" s="57"/>
      <c r="EHS68" s="57"/>
      <c r="EHT68" s="57"/>
      <c r="EHU68" s="57"/>
      <c r="EHV68" s="57"/>
      <c r="EHW68" s="59" t="s">
        <v>77</v>
      </c>
      <c r="EHX68" s="59" t="s">
        <v>78</v>
      </c>
      <c r="EHY68" s="59" t="s">
        <v>79</v>
      </c>
      <c r="EHZ68" s="59" t="s">
        <v>80</v>
      </c>
      <c r="EIA68" s="59" t="s">
        <v>81</v>
      </c>
      <c r="EIB68" s="59" t="s">
        <v>64</v>
      </c>
      <c r="EIC68" s="59" t="s">
        <v>98</v>
      </c>
      <c r="EID68" s="59" t="s">
        <v>124</v>
      </c>
      <c r="EIE68" s="59" t="s">
        <v>101</v>
      </c>
      <c r="EIF68" s="56"/>
      <c r="EIG68" s="57"/>
      <c r="EIH68" s="57"/>
      <c r="EII68" s="57"/>
      <c r="EIJ68" s="57"/>
      <c r="EIK68" s="57"/>
      <c r="EIL68" s="57"/>
      <c r="EIM68" s="59" t="s">
        <v>77</v>
      </c>
      <c r="EIN68" s="59" t="s">
        <v>78</v>
      </c>
      <c r="EIO68" s="59" t="s">
        <v>79</v>
      </c>
      <c r="EIP68" s="59" t="s">
        <v>80</v>
      </c>
      <c r="EIQ68" s="59" t="s">
        <v>81</v>
      </c>
      <c r="EIR68" s="59" t="s">
        <v>64</v>
      </c>
      <c r="EIS68" s="59" t="s">
        <v>98</v>
      </c>
      <c r="EIT68" s="59" t="s">
        <v>124</v>
      </c>
      <c r="EIU68" s="59" t="s">
        <v>101</v>
      </c>
      <c r="EIV68" s="56"/>
      <c r="EIW68" s="57"/>
      <c r="EIX68" s="57"/>
      <c r="EIY68" s="57"/>
      <c r="EIZ68" s="57"/>
      <c r="EJA68" s="57"/>
      <c r="EJB68" s="57"/>
      <c r="EJC68" s="59" t="s">
        <v>77</v>
      </c>
      <c r="EJD68" s="59" t="s">
        <v>78</v>
      </c>
      <c r="EJE68" s="59" t="s">
        <v>79</v>
      </c>
      <c r="EJF68" s="59" t="s">
        <v>80</v>
      </c>
      <c r="EJG68" s="59" t="s">
        <v>81</v>
      </c>
      <c r="EJH68" s="59" t="s">
        <v>64</v>
      </c>
      <c r="EJI68" s="59" t="s">
        <v>98</v>
      </c>
      <c r="EJJ68" s="59" t="s">
        <v>124</v>
      </c>
      <c r="EJK68" s="59" t="s">
        <v>101</v>
      </c>
      <c r="EJL68" s="56"/>
      <c r="EJM68" s="57"/>
      <c r="EJN68" s="57"/>
      <c r="EJO68" s="57"/>
      <c r="EJP68" s="57"/>
      <c r="EJQ68" s="57"/>
      <c r="EJR68" s="57"/>
      <c r="EJS68" s="59" t="s">
        <v>77</v>
      </c>
      <c r="EJT68" s="59" t="s">
        <v>78</v>
      </c>
      <c r="EJU68" s="59" t="s">
        <v>79</v>
      </c>
      <c r="EJV68" s="59" t="s">
        <v>80</v>
      </c>
      <c r="EJW68" s="59" t="s">
        <v>81</v>
      </c>
      <c r="EJX68" s="59" t="s">
        <v>64</v>
      </c>
      <c r="EJY68" s="59" t="s">
        <v>98</v>
      </c>
      <c r="EJZ68" s="59" t="s">
        <v>124</v>
      </c>
      <c r="EKA68" s="59" t="s">
        <v>101</v>
      </c>
      <c r="EKB68" s="56"/>
      <c r="EKC68" s="57"/>
      <c r="EKD68" s="57"/>
      <c r="EKE68" s="57"/>
      <c r="EKF68" s="57"/>
      <c r="EKG68" s="57"/>
      <c r="EKH68" s="57"/>
      <c r="EKI68" s="59" t="s">
        <v>77</v>
      </c>
      <c r="EKJ68" s="59" t="s">
        <v>78</v>
      </c>
      <c r="EKK68" s="59" t="s">
        <v>79</v>
      </c>
      <c r="EKL68" s="59" t="s">
        <v>80</v>
      </c>
      <c r="EKM68" s="59" t="s">
        <v>81</v>
      </c>
      <c r="EKN68" s="59" t="s">
        <v>64</v>
      </c>
      <c r="EKO68" s="59" t="s">
        <v>98</v>
      </c>
      <c r="EKP68" s="59" t="s">
        <v>124</v>
      </c>
      <c r="EKQ68" s="59" t="s">
        <v>101</v>
      </c>
      <c r="EKR68" s="56"/>
      <c r="EKS68" s="57"/>
      <c r="EKT68" s="57"/>
      <c r="EKU68" s="57"/>
      <c r="EKV68" s="57"/>
      <c r="EKW68" s="57"/>
      <c r="EKX68" s="57"/>
      <c r="EKY68" s="59" t="s">
        <v>77</v>
      </c>
      <c r="EKZ68" s="59" t="s">
        <v>78</v>
      </c>
      <c r="ELA68" s="59" t="s">
        <v>79</v>
      </c>
      <c r="ELB68" s="59" t="s">
        <v>80</v>
      </c>
      <c r="ELC68" s="59" t="s">
        <v>81</v>
      </c>
      <c r="ELD68" s="59" t="s">
        <v>64</v>
      </c>
      <c r="ELE68" s="59" t="s">
        <v>98</v>
      </c>
      <c r="ELF68" s="59" t="s">
        <v>124</v>
      </c>
      <c r="ELG68" s="59" t="s">
        <v>101</v>
      </c>
      <c r="ELH68" s="56"/>
      <c r="ELI68" s="57"/>
      <c r="ELJ68" s="57"/>
      <c r="ELK68" s="57"/>
      <c r="ELL68" s="57"/>
      <c r="ELM68" s="57"/>
      <c r="ELN68" s="57"/>
      <c r="ELO68" s="59" t="s">
        <v>77</v>
      </c>
      <c r="ELP68" s="59" t="s">
        <v>78</v>
      </c>
      <c r="ELQ68" s="59" t="s">
        <v>79</v>
      </c>
      <c r="ELR68" s="59" t="s">
        <v>80</v>
      </c>
      <c r="ELS68" s="59" t="s">
        <v>81</v>
      </c>
      <c r="ELT68" s="59" t="s">
        <v>64</v>
      </c>
      <c r="ELU68" s="59" t="s">
        <v>98</v>
      </c>
      <c r="ELV68" s="59" t="s">
        <v>124</v>
      </c>
      <c r="ELW68" s="59" t="s">
        <v>101</v>
      </c>
      <c r="ELX68" s="56"/>
      <c r="ELY68" s="57"/>
      <c r="ELZ68" s="57"/>
      <c r="EMA68" s="57"/>
      <c r="EMB68" s="57"/>
      <c r="EMC68" s="57"/>
      <c r="EMD68" s="57"/>
      <c r="EME68" s="59" t="s">
        <v>77</v>
      </c>
      <c r="EMF68" s="59" t="s">
        <v>78</v>
      </c>
      <c r="EMG68" s="59" t="s">
        <v>79</v>
      </c>
      <c r="EMH68" s="59" t="s">
        <v>80</v>
      </c>
      <c r="EMI68" s="59" t="s">
        <v>81</v>
      </c>
      <c r="EMJ68" s="59" t="s">
        <v>64</v>
      </c>
      <c r="EMK68" s="59" t="s">
        <v>98</v>
      </c>
      <c r="EML68" s="59" t="s">
        <v>124</v>
      </c>
      <c r="EMM68" s="59" t="s">
        <v>101</v>
      </c>
      <c r="EMN68" s="56"/>
      <c r="EMO68" s="57"/>
      <c r="EMP68" s="57"/>
      <c r="EMQ68" s="57"/>
      <c r="EMR68" s="57"/>
      <c r="EMS68" s="57"/>
      <c r="EMT68" s="57"/>
      <c r="EMU68" s="59" t="s">
        <v>77</v>
      </c>
      <c r="EMV68" s="59" t="s">
        <v>78</v>
      </c>
      <c r="EMW68" s="59" t="s">
        <v>79</v>
      </c>
      <c r="EMX68" s="59" t="s">
        <v>80</v>
      </c>
      <c r="EMY68" s="59" t="s">
        <v>81</v>
      </c>
      <c r="EMZ68" s="59" t="s">
        <v>64</v>
      </c>
      <c r="ENA68" s="59" t="s">
        <v>98</v>
      </c>
      <c r="ENB68" s="59" t="s">
        <v>124</v>
      </c>
      <c r="ENC68" s="59" t="s">
        <v>101</v>
      </c>
      <c r="END68" s="56"/>
      <c r="ENE68" s="57"/>
      <c r="ENF68" s="57"/>
      <c r="ENG68" s="57"/>
      <c r="ENH68" s="57"/>
      <c r="ENI68" s="57"/>
      <c r="ENJ68" s="57"/>
      <c r="ENK68" s="59" t="s">
        <v>77</v>
      </c>
      <c r="ENL68" s="59" t="s">
        <v>78</v>
      </c>
      <c r="ENM68" s="59" t="s">
        <v>79</v>
      </c>
      <c r="ENN68" s="59" t="s">
        <v>80</v>
      </c>
      <c r="ENO68" s="59" t="s">
        <v>81</v>
      </c>
      <c r="ENP68" s="59" t="s">
        <v>64</v>
      </c>
      <c r="ENQ68" s="59" t="s">
        <v>98</v>
      </c>
      <c r="ENR68" s="59" t="s">
        <v>124</v>
      </c>
      <c r="ENS68" s="59" t="s">
        <v>101</v>
      </c>
      <c r="ENT68" s="56"/>
      <c r="ENU68" s="57"/>
      <c r="ENV68" s="57"/>
      <c r="ENW68" s="57"/>
      <c r="ENX68" s="57"/>
      <c r="ENY68" s="57"/>
      <c r="ENZ68" s="57"/>
      <c r="EOA68" s="59" t="s">
        <v>77</v>
      </c>
      <c r="EOB68" s="59" t="s">
        <v>78</v>
      </c>
      <c r="EOC68" s="59" t="s">
        <v>79</v>
      </c>
      <c r="EOD68" s="59" t="s">
        <v>80</v>
      </c>
      <c r="EOE68" s="59" t="s">
        <v>81</v>
      </c>
      <c r="EOF68" s="59" t="s">
        <v>64</v>
      </c>
      <c r="EOG68" s="59" t="s">
        <v>98</v>
      </c>
      <c r="EOH68" s="59" t="s">
        <v>124</v>
      </c>
      <c r="EOI68" s="59" t="s">
        <v>101</v>
      </c>
      <c r="EOJ68" s="56"/>
      <c r="EOK68" s="57"/>
      <c r="EOL68" s="57"/>
      <c r="EOM68" s="57"/>
      <c r="EON68" s="57"/>
      <c r="EOO68" s="57"/>
      <c r="EOP68" s="57"/>
      <c r="EOQ68" s="59" t="s">
        <v>77</v>
      </c>
      <c r="EOR68" s="59" t="s">
        <v>78</v>
      </c>
      <c r="EOS68" s="59" t="s">
        <v>79</v>
      </c>
      <c r="EOT68" s="59" t="s">
        <v>80</v>
      </c>
      <c r="EOU68" s="59" t="s">
        <v>81</v>
      </c>
      <c r="EOV68" s="59" t="s">
        <v>64</v>
      </c>
      <c r="EOW68" s="59" t="s">
        <v>98</v>
      </c>
      <c r="EOX68" s="59" t="s">
        <v>124</v>
      </c>
      <c r="EOY68" s="59" t="s">
        <v>101</v>
      </c>
      <c r="EOZ68" s="56"/>
      <c r="EPA68" s="57"/>
      <c r="EPB68" s="57"/>
      <c r="EPC68" s="57"/>
      <c r="EPD68" s="57"/>
      <c r="EPE68" s="57"/>
      <c r="EPF68" s="57"/>
      <c r="EPG68" s="59" t="s">
        <v>77</v>
      </c>
      <c r="EPH68" s="59" t="s">
        <v>78</v>
      </c>
      <c r="EPI68" s="59" t="s">
        <v>79</v>
      </c>
      <c r="EPJ68" s="59" t="s">
        <v>80</v>
      </c>
      <c r="EPK68" s="59" t="s">
        <v>81</v>
      </c>
      <c r="EPL68" s="59" t="s">
        <v>64</v>
      </c>
      <c r="EPM68" s="59" t="s">
        <v>98</v>
      </c>
      <c r="EPN68" s="59" t="s">
        <v>124</v>
      </c>
      <c r="EPO68" s="59" t="s">
        <v>101</v>
      </c>
      <c r="EPP68" s="56"/>
      <c r="EPQ68" s="57"/>
      <c r="EPR68" s="57"/>
      <c r="EPS68" s="57"/>
      <c r="EPT68" s="57"/>
      <c r="EPU68" s="57"/>
      <c r="EPV68" s="57"/>
      <c r="EPW68" s="59" t="s">
        <v>77</v>
      </c>
      <c r="EPX68" s="59" t="s">
        <v>78</v>
      </c>
      <c r="EPY68" s="59" t="s">
        <v>79</v>
      </c>
      <c r="EPZ68" s="59" t="s">
        <v>80</v>
      </c>
      <c r="EQA68" s="59" t="s">
        <v>81</v>
      </c>
      <c r="EQB68" s="59" t="s">
        <v>64</v>
      </c>
      <c r="EQC68" s="59" t="s">
        <v>98</v>
      </c>
      <c r="EQD68" s="59" t="s">
        <v>124</v>
      </c>
      <c r="EQE68" s="59" t="s">
        <v>101</v>
      </c>
      <c r="EQF68" s="56"/>
      <c r="EQG68" s="57"/>
      <c r="EQH68" s="57"/>
      <c r="EQI68" s="57"/>
      <c r="EQJ68" s="57"/>
      <c r="EQK68" s="57"/>
      <c r="EQL68" s="57"/>
      <c r="EQM68" s="59" t="s">
        <v>77</v>
      </c>
      <c r="EQN68" s="59" t="s">
        <v>78</v>
      </c>
      <c r="EQO68" s="59" t="s">
        <v>79</v>
      </c>
      <c r="EQP68" s="59" t="s">
        <v>80</v>
      </c>
      <c r="EQQ68" s="59" t="s">
        <v>81</v>
      </c>
      <c r="EQR68" s="59" t="s">
        <v>64</v>
      </c>
      <c r="EQS68" s="59" t="s">
        <v>98</v>
      </c>
      <c r="EQT68" s="59" t="s">
        <v>124</v>
      </c>
      <c r="EQU68" s="59" t="s">
        <v>101</v>
      </c>
      <c r="EQV68" s="56"/>
      <c r="EQW68" s="57"/>
      <c r="EQX68" s="57"/>
      <c r="EQY68" s="57"/>
      <c r="EQZ68" s="57"/>
      <c r="ERA68" s="57"/>
      <c r="ERB68" s="57"/>
      <c r="ERC68" s="59" t="s">
        <v>77</v>
      </c>
      <c r="ERD68" s="59" t="s">
        <v>78</v>
      </c>
      <c r="ERE68" s="59" t="s">
        <v>79</v>
      </c>
      <c r="ERF68" s="59" t="s">
        <v>80</v>
      </c>
      <c r="ERG68" s="59" t="s">
        <v>81</v>
      </c>
      <c r="ERH68" s="59" t="s">
        <v>64</v>
      </c>
      <c r="ERI68" s="59" t="s">
        <v>98</v>
      </c>
      <c r="ERJ68" s="59" t="s">
        <v>124</v>
      </c>
      <c r="ERK68" s="59" t="s">
        <v>101</v>
      </c>
      <c r="ERL68" s="56"/>
      <c r="ERM68" s="57"/>
      <c r="ERN68" s="57"/>
      <c r="ERO68" s="57"/>
      <c r="ERP68" s="57"/>
      <c r="ERQ68" s="57"/>
      <c r="ERR68" s="57"/>
      <c r="ERS68" s="59" t="s">
        <v>77</v>
      </c>
      <c r="ERT68" s="59" t="s">
        <v>78</v>
      </c>
      <c r="ERU68" s="59" t="s">
        <v>79</v>
      </c>
      <c r="ERV68" s="59" t="s">
        <v>80</v>
      </c>
      <c r="ERW68" s="59" t="s">
        <v>81</v>
      </c>
      <c r="ERX68" s="59" t="s">
        <v>64</v>
      </c>
      <c r="ERY68" s="59" t="s">
        <v>98</v>
      </c>
      <c r="ERZ68" s="59" t="s">
        <v>124</v>
      </c>
      <c r="ESA68" s="59" t="s">
        <v>101</v>
      </c>
      <c r="ESB68" s="56"/>
      <c r="ESC68" s="57"/>
      <c r="ESD68" s="57"/>
      <c r="ESE68" s="57"/>
      <c r="ESF68" s="57"/>
      <c r="ESG68" s="57"/>
      <c r="ESH68" s="57"/>
      <c r="ESI68" s="59" t="s">
        <v>77</v>
      </c>
      <c r="ESJ68" s="59" t="s">
        <v>78</v>
      </c>
      <c r="ESK68" s="59" t="s">
        <v>79</v>
      </c>
      <c r="ESL68" s="59" t="s">
        <v>80</v>
      </c>
      <c r="ESM68" s="59" t="s">
        <v>81</v>
      </c>
      <c r="ESN68" s="59" t="s">
        <v>64</v>
      </c>
      <c r="ESO68" s="59" t="s">
        <v>98</v>
      </c>
      <c r="ESP68" s="59" t="s">
        <v>124</v>
      </c>
      <c r="ESQ68" s="59" t="s">
        <v>101</v>
      </c>
      <c r="ESR68" s="56"/>
      <c r="ESS68" s="57"/>
      <c r="EST68" s="57"/>
      <c r="ESU68" s="57"/>
      <c r="ESV68" s="57"/>
      <c r="ESW68" s="57"/>
      <c r="ESX68" s="57"/>
      <c r="ESY68" s="59" t="s">
        <v>77</v>
      </c>
      <c r="ESZ68" s="59" t="s">
        <v>78</v>
      </c>
      <c r="ETA68" s="59" t="s">
        <v>79</v>
      </c>
      <c r="ETB68" s="59" t="s">
        <v>80</v>
      </c>
      <c r="ETC68" s="59" t="s">
        <v>81</v>
      </c>
      <c r="ETD68" s="59" t="s">
        <v>64</v>
      </c>
      <c r="ETE68" s="59" t="s">
        <v>98</v>
      </c>
      <c r="ETF68" s="59" t="s">
        <v>124</v>
      </c>
      <c r="ETG68" s="59" t="s">
        <v>101</v>
      </c>
      <c r="ETH68" s="56"/>
      <c r="ETI68" s="57"/>
      <c r="ETJ68" s="57"/>
      <c r="ETK68" s="57"/>
      <c r="ETL68" s="57"/>
      <c r="ETM68" s="57"/>
      <c r="ETN68" s="57"/>
      <c r="ETO68" s="59" t="s">
        <v>77</v>
      </c>
      <c r="ETP68" s="59" t="s">
        <v>78</v>
      </c>
      <c r="ETQ68" s="59" t="s">
        <v>79</v>
      </c>
      <c r="ETR68" s="59" t="s">
        <v>80</v>
      </c>
      <c r="ETS68" s="59" t="s">
        <v>81</v>
      </c>
      <c r="ETT68" s="59" t="s">
        <v>64</v>
      </c>
      <c r="ETU68" s="59" t="s">
        <v>98</v>
      </c>
      <c r="ETV68" s="59" t="s">
        <v>124</v>
      </c>
      <c r="ETW68" s="59" t="s">
        <v>101</v>
      </c>
      <c r="ETX68" s="56"/>
      <c r="ETY68" s="57"/>
      <c r="ETZ68" s="57"/>
      <c r="EUA68" s="57"/>
      <c r="EUB68" s="57"/>
      <c r="EUC68" s="57"/>
      <c r="EUD68" s="57"/>
      <c r="EUE68" s="59" t="s">
        <v>77</v>
      </c>
      <c r="EUF68" s="59" t="s">
        <v>78</v>
      </c>
      <c r="EUG68" s="59" t="s">
        <v>79</v>
      </c>
      <c r="EUH68" s="59" t="s">
        <v>80</v>
      </c>
      <c r="EUI68" s="59" t="s">
        <v>81</v>
      </c>
      <c r="EUJ68" s="59" t="s">
        <v>64</v>
      </c>
      <c r="EUK68" s="59" t="s">
        <v>98</v>
      </c>
      <c r="EUL68" s="59" t="s">
        <v>124</v>
      </c>
      <c r="EUM68" s="59" t="s">
        <v>101</v>
      </c>
      <c r="EUN68" s="56"/>
      <c r="EUO68" s="57"/>
      <c r="EUP68" s="57"/>
      <c r="EUQ68" s="57"/>
      <c r="EUR68" s="57"/>
      <c r="EUS68" s="57"/>
      <c r="EUT68" s="57"/>
      <c r="EUU68" s="59" t="s">
        <v>77</v>
      </c>
      <c r="EUV68" s="59" t="s">
        <v>78</v>
      </c>
      <c r="EUW68" s="59" t="s">
        <v>79</v>
      </c>
      <c r="EUX68" s="59" t="s">
        <v>80</v>
      </c>
      <c r="EUY68" s="59" t="s">
        <v>81</v>
      </c>
      <c r="EUZ68" s="59" t="s">
        <v>64</v>
      </c>
      <c r="EVA68" s="59" t="s">
        <v>98</v>
      </c>
      <c r="EVB68" s="59" t="s">
        <v>124</v>
      </c>
      <c r="EVC68" s="59" t="s">
        <v>101</v>
      </c>
      <c r="EVD68" s="56"/>
      <c r="EVE68" s="57"/>
      <c r="EVF68" s="57"/>
      <c r="EVG68" s="57"/>
      <c r="EVH68" s="57"/>
      <c r="EVI68" s="57"/>
      <c r="EVJ68" s="57"/>
      <c r="EVK68" s="59" t="s">
        <v>77</v>
      </c>
      <c r="EVL68" s="59" t="s">
        <v>78</v>
      </c>
      <c r="EVM68" s="59" t="s">
        <v>79</v>
      </c>
      <c r="EVN68" s="59" t="s">
        <v>80</v>
      </c>
      <c r="EVO68" s="59" t="s">
        <v>81</v>
      </c>
      <c r="EVP68" s="59" t="s">
        <v>64</v>
      </c>
      <c r="EVQ68" s="59" t="s">
        <v>98</v>
      </c>
      <c r="EVR68" s="59" t="s">
        <v>124</v>
      </c>
      <c r="EVS68" s="59" t="s">
        <v>101</v>
      </c>
      <c r="EVT68" s="56"/>
      <c r="EVU68" s="57"/>
      <c r="EVV68" s="57"/>
      <c r="EVW68" s="57"/>
      <c r="EVX68" s="57"/>
      <c r="EVY68" s="57"/>
      <c r="EVZ68" s="57"/>
      <c r="EWA68" s="59" t="s">
        <v>77</v>
      </c>
      <c r="EWB68" s="59" t="s">
        <v>78</v>
      </c>
      <c r="EWC68" s="59" t="s">
        <v>79</v>
      </c>
      <c r="EWD68" s="59" t="s">
        <v>80</v>
      </c>
      <c r="EWE68" s="59" t="s">
        <v>81</v>
      </c>
      <c r="EWF68" s="59" t="s">
        <v>64</v>
      </c>
      <c r="EWG68" s="59" t="s">
        <v>98</v>
      </c>
      <c r="EWH68" s="59" t="s">
        <v>124</v>
      </c>
      <c r="EWI68" s="59" t="s">
        <v>101</v>
      </c>
      <c r="EWJ68" s="56"/>
      <c r="EWK68" s="57"/>
      <c r="EWL68" s="57"/>
      <c r="EWM68" s="57"/>
      <c r="EWN68" s="57"/>
      <c r="EWO68" s="57"/>
      <c r="EWP68" s="57"/>
      <c r="EWQ68" s="59" t="s">
        <v>77</v>
      </c>
      <c r="EWR68" s="59" t="s">
        <v>78</v>
      </c>
      <c r="EWS68" s="59" t="s">
        <v>79</v>
      </c>
      <c r="EWT68" s="59" t="s">
        <v>80</v>
      </c>
      <c r="EWU68" s="59" t="s">
        <v>81</v>
      </c>
      <c r="EWV68" s="59" t="s">
        <v>64</v>
      </c>
      <c r="EWW68" s="59" t="s">
        <v>98</v>
      </c>
      <c r="EWX68" s="59" t="s">
        <v>124</v>
      </c>
      <c r="EWY68" s="59" t="s">
        <v>101</v>
      </c>
      <c r="EWZ68" s="56"/>
      <c r="EXA68" s="57"/>
      <c r="EXB68" s="57"/>
      <c r="EXC68" s="57"/>
      <c r="EXD68" s="57"/>
      <c r="EXE68" s="57"/>
      <c r="EXF68" s="57"/>
      <c r="EXG68" s="59" t="s">
        <v>77</v>
      </c>
      <c r="EXH68" s="59" t="s">
        <v>78</v>
      </c>
      <c r="EXI68" s="59" t="s">
        <v>79</v>
      </c>
      <c r="EXJ68" s="59" t="s">
        <v>80</v>
      </c>
      <c r="EXK68" s="59" t="s">
        <v>81</v>
      </c>
      <c r="EXL68" s="59" t="s">
        <v>64</v>
      </c>
      <c r="EXM68" s="59" t="s">
        <v>98</v>
      </c>
      <c r="EXN68" s="59" t="s">
        <v>124</v>
      </c>
      <c r="EXO68" s="59" t="s">
        <v>101</v>
      </c>
      <c r="EXP68" s="56"/>
      <c r="EXQ68" s="57"/>
      <c r="EXR68" s="57"/>
      <c r="EXS68" s="57"/>
      <c r="EXT68" s="57"/>
      <c r="EXU68" s="57"/>
      <c r="EXV68" s="57"/>
      <c r="EXW68" s="59" t="s">
        <v>77</v>
      </c>
      <c r="EXX68" s="59" t="s">
        <v>78</v>
      </c>
      <c r="EXY68" s="59" t="s">
        <v>79</v>
      </c>
      <c r="EXZ68" s="59" t="s">
        <v>80</v>
      </c>
      <c r="EYA68" s="59" t="s">
        <v>81</v>
      </c>
      <c r="EYB68" s="59" t="s">
        <v>64</v>
      </c>
      <c r="EYC68" s="59" t="s">
        <v>98</v>
      </c>
      <c r="EYD68" s="59" t="s">
        <v>124</v>
      </c>
      <c r="EYE68" s="59" t="s">
        <v>101</v>
      </c>
      <c r="EYF68" s="56"/>
      <c r="EYG68" s="57"/>
      <c r="EYH68" s="57"/>
      <c r="EYI68" s="57"/>
      <c r="EYJ68" s="57"/>
      <c r="EYK68" s="57"/>
      <c r="EYL68" s="57"/>
      <c r="EYM68" s="59" t="s">
        <v>77</v>
      </c>
      <c r="EYN68" s="59" t="s">
        <v>78</v>
      </c>
      <c r="EYO68" s="59" t="s">
        <v>79</v>
      </c>
      <c r="EYP68" s="59" t="s">
        <v>80</v>
      </c>
      <c r="EYQ68" s="59" t="s">
        <v>81</v>
      </c>
      <c r="EYR68" s="59" t="s">
        <v>64</v>
      </c>
      <c r="EYS68" s="59" t="s">
        <v>98</v>
      </c>
      <c r="EYT68" s="59" t="s">
        <v>124</v>
      </c>
      <c r="EYU68" s="59" t="s">
        <v>101</v>
      </c>
      <c r="EYV68" s="56"/>
      <c r="EYW68" s="57"/>
      <c r="EYX68" s="57"/>
      <c r="EYY68" s="57"/>
      <c r="EYZ68" s="57"/>
      <c r="EZA68" s="57"/>
      <c r="EZB68" s="57"/>
      <c r="EZC68" s="59" t="s">
        <v>77</v>
      </c>
      <c r="EZD68" s="59" t="s">
        <v>78</v>
      </c>
      <c r="EZE68" s="59" t="s">
        <v>79</v>
      </c>
      <c r="EZF68" s="59" t="s">
        <v>80</v>
      </c>
      <c r="EZG68" s="59" t="s">
        <v>81</v>
      </c>
      <c r="EZH68" s="59" t="s">
        <v>64</v>
      </c>
      <c r="EZI68" s="59" t="s">
        <v>98</v>
      </c>
      <c r="EZJ68" s="59" t="s">
        <v>124</v>
      </c>
      <c r="EZK68" s="59" t="s">
        <v>101</v>
      </c>
      <c r="EZL68" s="56"/>
      <c r="EZM68" s="57"/>
      <c r="EZN68" s="57"/>
      <c r="EZO68" s="57"/>
      <c r="EZP68" s="57"/>
      <c r="EZQ68" s="57"/>
      <c r="EZR68" s="57"/>
      <c r="EZS68" s="59" t="s">
        <v>77</v>
      </c>
      <c r="EZT68" s="59" t="s">
        <v>78</v>
      </c>
      <c r="EZU68" s="59" t="s">
        <v>79</v>
      </c>
      <c r="EZV68" s="59" t="s">
        <v>80</v>
      </c>
      <c r="EZW68" s="59" t="s">
        <v>81</v>
      </c>
      <c r="EZX68" s="59" t="s">
        <v>64</v>
      </c>
      <c r="EZY68" s="59" t="s">
        <v>98</v>
      </c>
      <c r="EZZ68" s="59" t="s">
        <v>124</v>
      </c>
      <c r="FAA68" s="59" t="s">
        <v>101</v>
      </c>
      <c r="FAB68" s="56"/>
      <c r="FAC68" s="57"/>
      <c r="FAD68" s="57"/>
      <c r="FAE68" s="57"/>
      <c r="FAF68" s="57"/>
      <c r="FAG68" s="57"/>
      <c r="FAH68" s="57"/>
      <c r="FAI68" s="59" t="s">
        <v>77</v>
      </c>
      <c r="FAJ68" s="59" t="s">
        <v>78</v>
      </c>
      <c r="FAK68" s="59" t="s">
        <v>79</v>
      </c>
      <c r="FAL68" s="59" t="s">
        <v>80</v>
      </c>
      <c r="FAM68" s="59" t="s">
        <v>81</v>
      </c>
      <c r="FAN68" s="59" t="s">
        <v>64</v>
      </c>
      <c r="FAO68" s="59" t="s">
        <v>98</v>
      </c>
      <c r="FAP68" s="59" t="s">
        <v>124</v>
      </c>
      <c r="FAQ68" s="59" t="s">
        <v>101</v>
      </c>
      <c r="FAR68" s="56"/>
      <c r="FAS68" s="57"/>
      <c r="FAT68" s="57"/>
      <c r="FAU68" s="57"/>
      <c r="FAV68" s="57"/>
      <c r="FAW68" s="57"/>
      <c r="FAX68" s="57"/>
      <c r="FAY68" s="59" t="s">
        <v>77</v>
      </c>
      <c r="FAZ68" s="59" t="s">
        <v>78</v>
      </c>
      <c r="FBA68" s="59" t="s">
        <v>79</v>
      </c>
      <c r="FBB68" s="59" t="s">
        <v>80</v>
      </c>
      <c r="FBC68" s="59" t="s">
        <v>81</v>
      </c>
      <c r="FBD68" s="59" t="s">
        <v>64</v>
      </c>
      <c r="FBE68" s="59" t="s">
        <v>98</v>
      </c>
      <c r="FBF68" s="59" t="s">
        <v>124</v>
      </c>
      <c r="FBG68" s="59" t="s">
        <v>101</v>
      </c>
      <c r="FBH68" s="56"/>
      <c r="FBI68" s="57"/>
      <c r="FBJ68" s="57"/>
      <c r="FBK68" s="57"/>
      <c r="FBL68" s="57"/>
      <c r="FBM68" s="57"/>
      <c r="FBN68" s="57"/>
      <c r="FBO68" s="59" t="s">
        <v>77</v>
      </c>
      <c r="FBP68" s="59" t="s">
        <v>78</v>
      </c>
      <c r="FBQ68" s="59" t="s">
        <v>79</v>
      </c>
      <c r="FBR68" s="59" t="s">
        <v>80</v>
      </c>
      <c r="FBS68" s="59" t="s">
        <v>81</v>
      </c>
      <c r="FBT68" s="59" t="s">
        <v>64</v>
      </c>
      <c r="FBU68" s="59" t="s">
        <v>98</v>
      </c>
      <c r="FBV68" s="59" t="s">
        <v>124</v>
      </c>
      <c r="FBW68" s="59" t="s">
        <v>101</v>
      </c>
      <c r="FBX68" s="56"/>
      <c r="FBY68" s="57"/>
      <c r="FBZ68" s="57"/>
      <c r="FCA68" s="57"/>
      <c r="FCB68" s="57"/>
      <c r="FCC68" s="57"/>
      <c r="FCD68" s="57"/>
      <c r="FCE68" s="59" t="s">
        <v>77</v>
      </c>
      <c r="FCF68" s="59" t="s">
        <v>78</v>
      </c>
      <c r="FCG68" s="59" t="s">
        <v>79</v>
      </c>
      <c r="FCH68" s="59" t="s">
        <v>80</v>
      </c>
      <c r="FCI68" s="59" t="s">
        <v>81</v>
      </c>
      <c r="FCJ68" s="59" t="s">
        <v>64</v>
      </c>
      <c r="FCK68" s="59" t="s">
        <v>98</v>
      </c>
      <c r="FCL68" s="59" t="s">
        <v>124</v>
      </c>
      <c r="FCM68" s="59" t="s">
        <v>101</v>
      </c>
      <c r="FCN68" s="56"/>
      <c r="FCO68" s="57"/>
      <c r="FCP68" s="57"/>
      <c r="FCQ68" s="57"/>
      <c r="FCR68" s="57"/>
      <c r="FCS68" s="57"/>
      <c r="FCT68" s="57"/>
      <c r="FCU68" s="59" t="s">
        <v>77</v>
      </c>
      <c r="FCV68" s="59" t="s">
        <v>78</v>
      </c>
      <c r="FCW68" s="59" t="s">
        <v>79</v>
      </c>
      <c r="FCX68" s="59" t="s">
        <v>80</v>
      </c>
      <c r="FCY68" s="59" t="s">
        <v>81</v>
      </c>
      <c r="FCZ68" s="59" t="s">
        <v>64</v>
      </c>
      <c r="FDA68" s="59" t="s">
        <v>98</v>
      </c>
      <c r="FDB68" s="59" t="s">
        <v>124</v>
      </c>
      <c r="FDC68" s="59" t="s">
        <v>101</v>
      </c>
      <c r="FDD68" s="56"/>
      <c r="FDE68" s="57"/>
      <c r="FDF68" s="57"/>
      <c r="FDG68" s="57"/>
      <c r="FDH68" s="57"/>
      <c r="FDI68" s="57"/>
      <c r="FDJ68" s="57"/>
      <c r="FDK68" s="59" t="s">
        <v>77</v>
      </c>
      <c r="FDL68" s="59" t="s">
        <v>78</v>
      </c>
      <c r="FDM68" s="59" t="s">
        <v>79</v>
      </c>
      <c r="FDN68" s="59" t="s">
        <v>80</v>
      </c>
      <c r="FDO68" s="59" t="s">
        <v>81</v>
      </c>
      <c r="FDP68" s="59" t="s">
        <v>64</v>
      </c>
      <c r="FDQ68" s="59" t="s">
        <v>98</v>
      </c>
      <c r="FDR68" s="59" t="s">
        <v>124</v>
      </c>
      <c r="FDS68" s="59" t="s">
        <v>101</v>
      </c>
      <c r="FDT68" s="56"/>
      <c r="FDU68" s="57"/>
      <c r="FDV68" s="57"/>
      <c r="FDW68" s="57"/>
      <c r="FDX68" s="57"/>
      <c r="FDY68" s="57"/>
      <c r="FDZ68" s="57"/>
      <c r="FEA68" s="59" t="s">
        <v>77</v>
      </c>
      <c r="FEB68" s="59" t="s">
        <v>78</v>
      </c>
      <c r="FEC68" s="59" t="s">
        <v>79</v>
      </c>
      <c r="FED68" s="59" t="s">
        <v>80</v>
      </c>
      <c r="FEE68" s="59" t="s">
        <v>81</v>
      </c>
      <c r="FEF68" s="59" t="s">
        <v>64</v>
      </c>
      <c r="FEG68" s="59" t="s">
        <v>98</v>
      </c>
      <c r="FEH68" s="59" t="s">
        <v>124</v>
      </c>
      <c r="FEI68" s="59" t="s">
        <v>101</v>
      </c>
      <c r="FEJ68" s="56"/>
      <c r="FEK68" s="57"/>
      <c r="FEL68" s="57"/>
      <c r="FEM68" s="57"/>
      <c r="FEN68" s="57"/>
      <c r="FEO68" s="57"/>
      <c r="FEP68" s="57"/>
      <c r="FEQ68" s="59" t="s">
        <v>77</v>
      </c>
      <c r="FER68" s="59" t="s">
        <v>78</v>
      </c>
      <c r="FES68" s="59" t="s">
        <v>79</v>
      </c>
      <c r="FET68" s="59" t="s">
        <v>80</v>
      </c>
      <c r="FEU68" s="59" t="s">
        <v>81</v>
      </c>
      <c r="FEV68" s="59" t="s">
        <v>64</v>
      </c>
      <c r="FEW68" s="59" t="s">
        <v>98</v>
      </c>
      <c r="FEX68" s="59" t="s">
        <v>124</v>
      </c>
      <c r="FEY68" s="59" t="s">
        <v>101</v>
      </c>
      <c r="FEZ68" s="56"/>
      <c r="FFA68" s="57"/>
      <c r="FFB68" s="57"/>
      <c r="FFC68" s="57"/>
      <c r="FFD68" s="57"/>
      <c r="FFE68" s="57"/>
      <c r="FFF68" s="57"/>
      <c r="FFG68" s="59" t="s">
        <v>77</v>
      </c>
      <c r="FFH68" s="59" t="s">
        <v>78</v>
      </c>
      <c r="FFI68" s="59" t="s">
        <v>79</v>
      </c>
      <c r="FFJ68" s="59" t="s">
        <v>80</v>
      </c>
      <c r="FFK68" s="59" t="s">
        <v>81</v>
      </c>
      <c r="FFL68" s="59" t="s">
        <v>64</v>
      </c>
      <c r="FFM68" s="59" t="s">
        <v>98</v>
      </c>
      <c r="FFN68" s="59" t="s">
        <v>124</v>
      </c>
      <c r="FFO68" s="59" t="s">
        <v>101</v>
      </c>
      <c r="FFP68" s="56"/>
      <c r="FFQ68" s="57"/>
      <c r="FFR68" s="57"/>
      <c r="FFS68" s="57"/>
      <c r="FFT68" s="57"/>
      <c r="FFU68" s="57"/>
      <c r="FFV68" s="57"/>
      <c r="FFW68" s="59" t="s">
        <v>77</v>
      </c>
      <c r="FFX68" s="59" t="s">
        <v>78</v>
      </c>
      <c r="FFY68" s="59" t="s">
        <v>79</v>
      </c>
      <c r="FFZ68" s="59" t="s">
        <v>80</v>
      </c>
      <c r="FGA68" s="59" t="s">
        <v>81</v>
      </c>
      <c r="FGB68" s="59" t="s">
        <v>64</v>
      </c>
      <c r="FGC68" s="59" t="s">
        <v>98</v>
      </c>
      <c r="FGD68" s="59" t="s">
        <v>124</v>
      </c>
      <c r="FGE68" s="59" t="s">
        <v>101</v>
      </c>
      <c r="FGF68" s="56"/>
      <c r="FGG68" s="57"/>
      <c r="FGH68" s="57"/>
      <c r="FGI68" s="57"/>
      <c r="FGJ68" s="57"/>
      <c r="FGK68" s="57"/>
      <c r="FGL68" s="57"/>
      <c r="FGM68" s="59" t="s">
        <v>77</v>
      </c>
      <c r="FGN68" s="59" t="s">
        <v>78</v>
      </c>
      <c r="FGO68" s="59" t="s">
        <v>79</v>
      </c>
      <c r="FGP68" s="59" t="s">
        <v>80</v>
      </c>
      <c r="FGQ68" s="59" t="s">
        <v>81</v>
      </c>
      <c r="FGR68" s="59" t="s">
        <v>64</v>
      </c>
      <c r="FGS68" s="59" t="s">
        <v>98</v>
      </c>
      <c r="FGT68" s="59" t="s">
        <v>124</v>
      </c>
      <c r="FGU68" s="59" t="s">
        <v>101</v>
      </c>
      <c r="FGV68" s="56"/>
      <c r="FGW68" s="57"/>
      <c r="FGX68" s="57"/>
      <c r="FGY68" s="57"/>
      <c r="FGZ68" s="57"/>
      <c r="FHA68" s="57"/>
      <c r="FHB68" s="57"/>
      <c r="FHC68" s="59" t="s">
        <v>77</v>
      </c>
      <c r="FHD68" s="59" t="s">
        <v>78</v>
      </c>
      <c r="FHE68" s="59" t="s">
        <v>79</v>
      </c>
      <c r="FHF68" s="59" t="s">
        <v>80</v>
      </c>
      <c r="FHG68" s="59" t="s">
        <v>81</v>
      </c>
      <c r="FHH68" s="59" t="s">
        <v>64</v>
      </c>
      <c r="FHI68" s="59" t="s">
        <v>98</v>
      </c>
      <c r="FHJ68" s="59" t="s">
        <v>124</v>
      </c>
      <c r="FHK68" s="59" t="s">
        <v>101</v>
      </c>
      <c r="FHL68" s="56"/>
      <c r="FHM68" s="57"/>
      <c r="FHN68" s="57"/>
      <c r="FHO68" s="57"/>
      <c r="FHP68" s="57"/>
      <c r="FHQ68" s="57"/>
      <c r="FHR68" s="57"/>
      <c r="FHS68" s="59" t="s">
        <v>77</v>
      </c>
      <c r="FHT68" s="59" t="s">
        <v>78</v>
      </c>
      <c r="FHU68" s="59" t="s">
        <v>79</v>
      </c>
      <c r="FHV68" s="59" t="s">
        <v>80</v>
      </c>
      <c r="FHW68" s="59" t="s">
        <v>81</v>
      </c>
      <c r="FHX68" s="59" t="s">
        <v>64</v>
      </c>
      <c r="FHY68" s="59" t="s">
        <v>98</v>
      </c>
      <c r="FHZ68" s="59" t="s">
        <v>124</v>
      </c>
      <c r="FIA68" s="59" t="s">
        <v>101</v>
      </c>
      <c r="FIB68" s="56"/>
      <c r="FIC68" s="57"/>
      <c r="FID68" s="57"/>
      <c r="FIE68" s="57"/>
      <c r="FIF68" s="57"/>
      <c r="FIG68" s="57"/>
      <c r="FIH68" s="57"/>
      <c r="FII68" s="59" t="s">
        <v>77</v>
      </c>
      <c r="FIJ68" s="59" t="s">
        <v>78</v>
      </c>
      <c r="FIK68" s="59" t="s">
        <v>79</v>
      </c>
      <c r="FIL68" s="59" t="s">
        <v>80</v>
      </c>
      <c r="FIM68" s="59" t="s">
        <v>81</v>
      </c>
      <c r="FIN68" s="59" t="s">
        <v>64</v>
      </c>
      <c r="FIO68" s="59" t="s">
        <v>98</v>
      </c>
      <c r="FIP68" s="59" t="s">
        <v>124</v>
      </c>
      <c r="FIQ68" s="59" t="s">
        <v>101</v>
      </c>
      <c r="FIR68" s="56"/>
      <c r="FIS68" s="57"/>
      <c r="FIT68" s="57"/>
      <c r="FIU68" s="57"/>
      <c r="FIV68" s="57"/>
      <c r="FIW68" s="57"/>
      <c r="FIX68" s="57"/>
      <c r="FIY68" s="59" t="s">
        <v>77</v>
      </c>
      <c r="FIZ68" s="59" t="s">
        <v>78</v>
      </c>
      <c r="FJA68" s="59" t="s">
        <v>79</v>
      </c>
      <c r="FJB68" s="59" t="s">
        <v>80</v>
      </c>
      <c r="FJC68" s="59" t="s">
        <v>81</v>
      </c>
      <c r="FJD68" s="59" t="s">
        <v>64</v>
      </c>
      <c r="FJE68" s="59" t="s">
        <v>98</v>
      </c>
      <c r="FJF68" s="59" t="s">
        <v>124</v>
      </c>
      <c r="FJG68" s="59" t="s">
        <v>101</v>
      </c>
      <c r="FJH68" s="56"/>
      <c r="FJI68" s="57"/>
      <c r="FJJ68" s="57"/>
      <c r="FJK68" s="57"/>
      <c r="FJL68" s="57"/>
      <c r="FJM68" s="57"/>
      <c r="FJN68" s="57"/>
      <c r="FJO68" s="59" t="s">
        <v>77</v>
      </c>
      <c r="FJP68" s="59" t="s">
        <v>78</v>
      </c>
      <c r="FJQ68" s="59" t="s">
        <v>79</v>
      </c>
      <c r="FJR68" s="59" t="s">
        <v>80</v>
      </c>
      <c r="FJS68" s="59" t="s">
        <v>81</v>
      </c>
      <c r="FJT68" s="59" t="s">
        <v>64</v>
      </c>
      <c r="FJU68" s="59" t="s">
        <v>98</v>
      </c>
      <c r="FJV68" s="59" t="s">
        <v>124</v>
      </c>
      <c r="FJW68" s="59" t="s">
        <v>101</v>
      </c>
      <c r="FJX68" s="56"/>
      <c r="FJY68" s="57"/>
      <c r="FJZ68" s="57"/>
      <c r="FKA68" s="57"/>
      <c r="FKB68" s="57"/>
      <c r="FKC68" s="57"/>
      <c r="FKD68" s="57"/>
      <c r="FKE68" s="59" t="s">
        <v>77</v>
      </c>
      <c r="FKF68" s="59" t="s">
        <v>78</v>
      </c>
      <c r="FKG68" s="59" t="s">
        <v>79</v>
      </c>
      <c r="FKH68" s="59" t="s">
        <v>80</v>
      </c>
      <c r="FKI68" s="59" t="s">
        <v>81</v>
      </c>
      <c r="FKJ68" s="59" t="s">
        <v>64</v>
      </c>
      <c r="FKK68" s="59" t="s">
        <v>98</v>
      </c>
      <c r="FKL68" s="59" t="s">
        <v>124</v>
      </c>
      <c r="FKM68" s="59" t="s">
        <v>101</v>
      </c>
      <c r="FKN68" s="56"/>
      <c r="FKO68" s="57"/>
      <c r="FKP68" s="57"/>
      <c r="FKQ68" s="57"/>
      <c r="FKR68" s="57"/>
      <c r="FKS68" s="57"/>
      <c r="FKT68" s="57"/>
      <c r="FKU68" s="59" t="s">
        <v>77</v>
      </c>
      <c r="FKV68" s="59" t="s">
        <v>78</v>
      </c>
      <c r="FKW68" s="59" t="s">
        <v>79</v>
      </c>
      <c r="FKX68" s="59" t="s">
        <v>80</v>
      </c>
      <c r="FKY68" s="59" t="s">
        <v>81</v>
      </c>
      <c r="FKZ68" s="59" t="s">
        <v>64</v>
      </c>
      <c r="FLA68" s="59" t="s">
        <v>98</v>
      </c>
      <c r="FLB68" s="59" t="s">
        <v>124</v>
      </c>
      <c r="FLC68" s="59" t="s">
        <v>101</v>
      </c>
      <c r="FLD68" s="56"/>
      <c r="FLE68" s="57"/>
      <c r="FLF68" s="57"/>
      <c r="FLG68" s="57"/>
      <c r="FLH68" s="57"/>
      <c r="FLI68" s="57"/>
      <c r="FLJ68" s="57"/>
      <c r="FLK68" s="59" t="s">
        <v>77</v>
      </c>
      <c r="FLL68" s="59" t="s">
        <v>78</v>
      </c>
      <c r="FLM68" s="59" t="s">
        <v>79</v>
      </c>
      <c r="FLN68" s="59" t="s">
        <v>80</v>
      </c>
      <c r="FLO68" s="59" t="s">
        <v>81</v>
      </c>
      <c r="FLP68" s="59" t="s">
        <v>64</v>
      </c>
      <c r="FLQ68" s="59" t="s">
        <v>98</v>
      </c>
      <c r="FLR68" s="59" t="s">
        <v>124</v>
      </c>
      <c r="FLS68" s="59" t="s">
        <v>101</v>
      </c>
      <c r="FLT68" s="56"/>
      <c r="FLU68" s="57"/>
      <c r="FLV68" s="57"/>
      <c r="FLW68" s="57"/>
      <c r="FLX68" s="57"/>
      <c r="FLY68" s="57"/>
      <c r="FLZ68" s="57"/>
      <c r="FMA68" s="59" t="s">
        <v>77</v>
      </c>
      <c r="FMB68" s="59" t="s">
        <v>78</v>
      </c>
      <c r="FMC68" s="59" t="s">
        <v>79</v>
      </c>
      <c r="FMD68" s="59" t="s">
        <v>80</v>
      </c>
      <c r="FME68" s="59" t="s">
        <v>81</v>
      </c>
      <c r="FMF68" s="59" t="s">
        <v>64</v>
      </c>
      <c r="FMG68" s="59" t="s">
        <v>98</v>
      </c>
      <c r="FMH68" s="59" t="s">
        <v>124</v>
      </c>
      <c r="FMI68" s="59" t="s">
        <v>101</v>
      </c>
      <c r="FMJ68" s="56"/>
      <c r="FMK68" s="57"/>
      <c r="FML68" s="57"/>
      <c r="FMM68" s="57"/>
      <c r="FMN68" s="57"/>
      <c r="FMO68" s="57"/>
      <c r="FMP68" s="57"/>
      <c r="FMQ68" s="59" t="s">
        <v>77</v>
      </c>
      <c r="FMR68" s="59" t="s">
        <v>78</v>
      </c>
      <c r="FMS68" s="59" t="s">
        <v>79</v>
      </c>
      <c r="FMT68" s="59" t="s">
        <v>80</v>
      </c>
      <c r="FMU68" s="59" t="s">
        <v>81</v>
      </c>
      <c r="FMV68" s="59" t="s">
        <v>64</v>
      </c>
      <c r="FMW68" s="59" t="s">
        <v>98</v>
      </c>
      <c r="FMX68" s="59" t="s">
        <v>124</v>
      </c>
      <c r="FMY68" s="59" t="s">
        <v>101</v>
      </c>
      <c r="FMZ68" s="56"/>
      <c r="FNA68" s="57"/>
      <c r="FNB68" s="57"/>
      <c r="FNC68" s="57"/>
      <c r="FND68" s="57"/>
      <c r="FNE68" s="57"/>
      <c r="FNF68" s="57"/>
      <c r="FNG68" s="59" t="s">
        <v>77</v>
      </c>
      <c r="FNH68" s="59" t="s">
        <v>78</v>
      </c>
      <c r="FNI68" s="59" t="s">
        <v>79</v>
      </c>
      <c r="FNJ68" s="59" t="s">
        <v>80</v>
      </c>
      <c r="FNK68" s="59" t="s">
        <v>81</v>
      </c>
      <c r="FNL68" s="59" t="s">
        <v>64</v>
      </c>
      <c r="FNM68" s="59" t="s">
        <v>98</v>
      </c>
      <c r="FNN68" s="59" t="s">
        <v>124</v>
      </c>
      <c r="FNO68" s="59" t="s">
        <v>101</v>
      </c>
      <c r="FNP68" s="56"/>
      <c r="FNQ68" s="57"/>
      <c r="FNR68" s="57"/>
      <c r="FNS68" s="57"/>
      <c r="FNT68" s="57"/>
      <c r="FNU68" s="57"/>
      <c r="FNV68" s="57"/>
      <c r="FNW68" s="59" t="s">
        <v>77</v>
      </c>
      <c r="FNX68" s="59" t="s">
        <v>78</v>
      </c>
      <c r="FNY68" s="59" t="s">
        <v>79</v>
      </c>
      <c r="FNZ68" s="59" t="s">
        <v>80</v>
      </c>
      <c r="FOA68" s="59" t="s">
        <v>81</v>
      </c>
      <c r="FOB68" s="59" t="s">
        <v>64</v>
      </c>
      <c r="FOC68" s="59" t="s">
        <v>98</v>
      </c>
      <c r="FOD68" s="59" t="s">
        <v>124</v>
      </c>
      <c r="FOE68" s="59" t="s">
        <v>101</v>
      </c>
      <c r="FOF68" s="56"/>
      <c r="FOG68" s="57"/>
      <c r="FOH68" s="57"/>
      <c r="FOI68" s="57"/>
      <c r="FOJ68" s="57"/>
      <c r="FOK68" s="57"/>
      <c r="FOL68" s="57"/>
      <c r="FOM68" s="59" t="s">
        <v>77</v>
      </c>
      <c r="FON68" s="59" t="s">
        <v>78</v>
      </c>
      <c r="FOO68" s="59" t="s">
        <v>79</v>
      </c>
      <c r="FOP68" s="59" t="s">
        <v>80</v>
      </c>
      <c r="FOQ68" s="59" t="s">
        <v>81</v>
      </c>
      <c r="FOR68" s="59" t="s">
        <v>64</v>
      </c>
      <c r="FOS68" s="59" t="s">
        <v>98</v>
      </c>
      <c r="FOT68" s="59" t="s">
        <v>124</v>
      </c>
      <c r="FOU68" s="59" t="s">
        <v>101</v>
      </c>
      <c r="FOV68" s="56"/>
      <c r="FOW68" s="57"/>
      <c r="FOX68" s="57"/>
      <c r="FOY68" s="57"/>
      <c r="FOZ68" s="57"/>
      <c r="FPA68" s="57"/>
      <c r="FPB68" s="57"/>
      <c r="FPC68" s="59" t="s">
        <v>77</v>
      </c>
      <c r="FPD68" s="59" t="s">
        <v>78</v>
      </c>
      <c r="FPE68" s="59" t="s">
        <v>79</v>
      </c>
      <c r="FPF68" s="59" t="s">
        <v>80</v>
      </c>
      <c r="FPG68" s="59" t="s">
        <v>81</v>
      </c>
      <c r="FPH68" s="59" t="s">
        <v>64</v>
      </c>
      <c r="FPI68" s="59" t="s">
        <v>98</v>
      </c>
      <c r="FPJ68" s="59" t="s">
        <v>124</v>
      </c>
      <c r="FPK68" s="59" t="s">
        <v>101</v>
      </c>
      <c r="FPL68" s="56"/>
      <c r="FPM68" s="57"/>
      <c r="FPN68" s="57"/>
      <c r="FPO68" s="57"/>
      <c r="FPP68" s="57"/>
      <c r="FPQ68" s="57"/>
      <c r="FPR68" s="57"/>
      <c r="FPS68" s="59" t="s">
        <v>77</v>
      </c>
      <c r="FPT68" s="59" t="s">
        <v>78</v>
      </c>
      <c r="FPU68" s="59" t="s">
        <v>79</v>
      </c>
      <c r="FPV68" s="59" t="s">
        <v>80</v>
      </c>
      <c r="FPW68" s="59" t="s">
        <v>81</v>
      </c>
      <c r="FPX68" s="59" t="s">
        <v>64</v>
      </c>
      <c r="FPY68" s="59" t="s">
        <v>98</v>
      </c>
      <c r="FPZ68" s="59" t="s">
        <v>124</v>
      </c>
      <c r="FQA68" s="59" t="s">
        <v>101</v>
      </c>
      <c r="FQB68" s="56"/>
      <c r="FQC68" s="57"/>
      <c r="FQD68" s="57"/>
      <c r="FQE68" s="57"/>
      <c r="FQF68" s="57"/>
      <c r="FQG68" s="57"/>
      <c r="FQH68" s="57"/>
      <c r="FQI68" s="59" t="s">
        <v>77</v>
      </c>
      <c r="FQJ68" s="59" t="s">
        <v>78</v>
      </c>
      <c r="FQK68" s="59" t="s">
        <v>79</v>
      </c>
      <c r="FQL68" s="59" t="s">
        <v>80</v>
      </c>
      <c r="FQM68" s="59" t="s">
        <v>81</v>
      </c>
      <c r="FQN68" s="59" t="s">
        <v>64</v>
      </c>
      <c r="FQO68" s="59" t="s">
        <v>98</v>
      </c>
      <c r="FQP68" s="59" t="s">
        <v>124</v>
      </c>
      <c r="FQQ68" s="59" t="s">
        <v>101</v>
      </c>
      <c r="FQR68" s="56"/>
      <c r="FQS68" s="57"/>
      <c r="FQT68" s="57"/>
      <c r="FQU68" s="57"/>
      <c r="FQV68" s="57"/>
      <c r="FQW68" s="57"/>
      <c r="FQX68" s="57"/>
      <c r="FQY68" s="59" t="s">
        <v>77</v>
      </c>
      <c r="FQZ68" s="59" t="s">
        <v>78</v>
      </c>
      <c r="FRA68" s="59" t="s">
        <v>79</v>
      </c>
      <c r="FRB68" s="59" t="s">
        <v>80</v>
      </c>
      <c r="FRC68" s="59" t="s">
        <v>81</v>
      </c>
      <c r="FRD68" s="59" t="s">
        <v>64</v>
      </c>
      <c r="FRE68" s="59" t="s">
        <v>98</v>
      </c>
      <c r="FRF68" s="59" t="s">
        <v>124</v>
      </c>
      <c r="FRG68" s="59" t="s">
        <v>101</v>
      </c>
      <c r="FRH68" s="56"/>
      <c r="FRI68" s="57"/>
      <c r="FRJ68" s="57"/>
      <c r="FRK68" s="57"/>
      <c r="FRL68" s="57"/>
      <c r="FRM68" s="57"/>
      <c r="FRN68" s="57"/>
      <c r="FRO68" s="59" t="s">
        <v>77</v>
      </c>
      <c r="FRP68" s="59" t="s">
        <v>78</v>
      </c>
      <c r="FRQ68" s="59" t="s">
        <v>79</v>
      </c>
      <c r="FRR68" s="59" t="s">
        <v>80</v>
      </c>
      <c r="FRS68" s="59" t="s">
        <v>81</v>
      </c>
      <c r="FRT68" s="59" t="s">
        <v>64</v>
      </c>
      <c r="FRU68" s="59" t="s">
        <v>98</v>
      </c>
      <c r="FRV68" s="59" t="s">
        <v>124</v>
      </c>
      <c r="FRW68" s="59" t="s">
        <v>101</v>
      </c>
      <c r="FRX68" s="56"/>
      <c r="FRY68" s="57"/>
      <c r="FRZ68" s="57"/>
      <c r="FSA68" s="57"/>
      <c r="FSB68" s="57"/>
      <c r="FSC68" s="57"/>
      <c r="FSD68" s="57"/>
      <c r="FSE68" s="59" t="s">
        <v>77</v>
      </c>
      <c r="FSF68" s="59" t="s">
        <v>78</v>
      </c>
      <c r="FSG68" s="59" t="s">
        <v>79</v>
      </c>
      <c r="FSH68" s="59" t="s">
        <v>80</v>
      </c>
      <c r="FSI68" s="59" t="s">
        <v>81</v>
      </c>
      <c r="FSJ68" s="59" t="s">
        <v>64</v>
      </c>
      <c r="FSK68" s="59" t="s">
        <v>98</v>
      </c>
      <c r="FSL68" s="59" t="s">
        <v>124</v>
      </c>
      <c r="FSM68" s="59" t="s">
        <v>101</v>
      </c>
      <c r="FSN68" s="56"/>
      <c r="FSO68" s="57"/>
      <c r="FSP68" s="57"/>
      <c r="FSQ68" s="57"/>
      <c r="FSR68" s="57"/>
      <c r="FSS68" s="57"/>
      <c r="FST68" s="57"/>
      <c r="FSU68" s="59" t="s">
        <v>77</v>
      </c>
      <c r="FSV68" s="59" t="s">
        <v>78</v>
      </c>
      <c r="FSW68" s="59" t="s">
        <v>79</v>
      </c>
      <c r="FSX68" s="59" t="s">
        <v>80</v>
      </c>
      <c r="FSY68" s="59" t="s">
        <v>81</v>
      </c>
      <c r="FSZ68" s="59" t="s">
        <v>64</v>
      </c>
      <c r="FTA68" s="59" t="s">
        <v>98</v>
      </c>
      <c r="FTB68" s="59" t="s">
        <v>124</v>
      </c>
      <c r="FTC68" s="59" t="s">
        <v>101</v>
      </c>
      <c r="FTD68" s="56"/>
      <c r="FTE68" s="57"/>
      <c r="FTF68" s="57"/>
      <c r="FTG68" s="57"/>
      <c r="FTH68" s="57"/>
      <c r="FTI68" s="57"/>
      <c r="FTJ68" s="57"/>
      <c r="FTK68" s="59" t="s">
        <v>77</v>
      </c>
      <c r="FTL68" s="59" t="s">
        <v>78</v>
      </c>
      <c r="FTM68" s="59" t="s">
        <v>79</v>
      </c>
      <c r="FTN68" s="59" t="s">
        <v>80</v>
      </c>
      <c r="FTO68" s="59" t="s">
        <v>81</v>
      </c>
      <c r="FTP68" s="59" t="s">
        <v>64</v>
      </c>
      <c r="FTQ68" s="59" t="s">
        <v>98</v>
      </c>
      <c r="FTR68" s="59" t="s">
        <v>124</v>
      </c>
      <c r="FTS68" s="59" t="s">
        <v>101</v>
      </c>
      <c r="FTT68" s="56"/>
      <c r="FTU68" s="57"/>
      <c r="FTV68" s="57"/>
      <c r="FTW68" s="57"/>
      <c r="FTX68" s="57"/>
      <c r="FTY68" s="57"/>
      <c r="FTZ68" s="57"/>
      <c r="FUA68" s="59" t="s">
        <v>77</v>
      </c>
      <c r="FUB68" s="59" t="s">
        <v>78</v>
      </c>
      <c r="FUC68" s="59" t="s">
        <v>79</v>
      </c>
      <c r="FUD68" s="59" t="s">
        <v>80</v>
      </c>
      <c r="FUE68" s="59" t="s">
        <v>81</v>
      </c>
      <c r="FUF68" s="59" t="s">
        <v>64</v>
      </c>
      <c r="FUG68" s="59" t="s">
        <v>98</v>
      </c>
      <c r="FUH68" s="59" t="s">
        <v>124</v>
      </c>
      <c r="FUI68" s="59" t="s">
        <v>101</v>
      </c>
      <c r="FUJ68" s="56"/>
      <c r="FUK68" s="57"/>
      <c r="FUL68" s="57"/>
      <c r="FUM68" s="57"/>
      <c r="FUN68" s="57"/>
      <c r="FUO68" s="57"/>
      <c r="FUP68" s="57"/>
      <c r="FUQ68" s="59" t="s">
        <v>77</v>
      </c>
      <c r="FUR68" s="59" t="s">
        <v>78</v>
      </c>
      <c r="FUS68" s="59" t="s">
        <v>79</v>
      </c>
      <c r="FUT68" s="59" t="s">
        <v>80</v>
      </c>
      <c r="FUU68" s="59" t="s">
        <v>81</v>
      </c>
      <c r="FUV68" s="59" t="s">
        <v>64</v>
      </c>
      <c r="FUW68" s="59" t="s">
        <v>98</v>
      </c>
      <c r="FUX68" s="59" t="s">
        <v>124</v>
      </c>
      <c r="FUY68" s="59" t="s">
        <v>101</v>
      </c>
      <c r="FUZ68" s="56"/>
      <c r="FVA68" s="57"/>
      <c r="FVB68" s="57"/>
      <c r="FVC68" s="57"/>
      <c r="FVD68" s="57"/>
      <c r="FVE68" s="57"/>
      <c r="FVF68" s="57"/>
      <c r="FVG68" s="59" t="s">
        <v>77</v>
      </c>
      <c r="FVH68" s="59" t="s">
        <v>78</v>
      </c>
      <c r="FVI68" s="59" t="s">
        <v>79</v>
      </c>
      <c r="FVJ68" s="59" t="s">
        <v>80</v>
      </c>
      <c r="FVK68" s="59" t="s">
        <v>81</v>
      </c>
      <c r="FVL68" s="59" t="s">
        <v>64</v>
      </c>
      <c r="FVM68" s="59" t="s">
        <v>98</v>
      </c>
      <c r="FVN68" s="59" t="s">
        <v>124</v>
      </c>
      <c r="FVO68" s="59" t="s">
        <v>101</v>
      </c>
      <c r="FVP68" s="56"/>
      <c r="FVQ68" s="57"/>
      <c r="FVR68" s="57"/>
      <c r="FVS68" s="57"/>
      <c r="FVT68" s="57"/>
      <c r="FVU68" s="57"/>
      <c r="FVV68" s="57"/>
      <c r="FVW68" s="59" t="s">
        <v>77</v>
      </c>
      <c r="FVX68" s="59" t="s">
        <v>78</v>
      </c>
      <c r="FVY68" s="59" t="s">
        <v>79</v>
      </c>
      <c r="FVZ68" s="59" t="s">
        <v>80</v>
      </c>
      <c r="FWA68" s="59" t="s">
        <v>81</v>
      </c>
      <c r="FWB68" s="59" t="s">
        <v>64</v>
      </c>
      <c r="FWC68" s="59" t="s">
        <v>98</v>
      </c>
      <c r="FWD68" s="59" t="s">
        <v>124</v>
      </c>
      <c r="FWE68" s="59" t="s">
        <v>101</v>
      </c>
      <c r="FWF68" s="56"/>
      <c r="FWG68" s="57"/>
      <c r="FWH68" s="57"/>
      <c r="FWI68" s="57"/>
      <c r="FWJ68" s="57"/>
      <c r="FWK68" s="57"/>
      <c r="FWL68" s="57"/>
      <c r="FWM68" s="59" t="s">
        <v>77</v>
      </c>
      <c r="FWN68" s="59" t="s">
        <v>78</v>
      </c>
      <c r="FWO68" s="59" t="s">
        <v>79</v>
      </c>
      <c r="FWP68" s="59" t="s">
        <v>80</v>
      </c>
      <c r="FWQ68" s="59" t="s">
        <v>81</v>
      </c>
      <c r="FWR68" s="59" t="s">
        <v>64</v>
      </c>
      <c r="FWS68" s="59" t="s">
        <v>98</v>
      </c>
      <c r="FWT68" s="59" t="s">
        <v>124</v>
      </c>
      <c r="FWU68" s="59" t="s">
        <v>101</v>
      </c>
      <c r="FWV68" s="56"/>
      <c r="FWW68" s="57"/>
      <c r="FWX68" s="57"/>
      <c r="FWY68" s="57"/>
      <c r="FWZ68" s="57"/>
      <c r="FXA68" s="57"/>
      <c r="FXB68" s="57"/>
      <c r="FXC68" s="59" t="s">
        <v>77</v>
      </c>
      <c r="FXD68" s="59" t="s">
        <v>78</v>
      </c>
      <c r="FXE68" s="59" t="s">
        <v>79</v>
      </c>
      <c r="FXF68" s="59" t="s">
        <v>80</v>
      </c>
      <c r="FXG68" s="59" t="s">
        <v>81</v>
      </c>
      <c r="FXH68" s="59" t="s">
        <v>64</v>
      </c>
      <c r="FXI68" s="59" t="s">
        <v>98</v>
      </c>
      <c r="FXJ68" s="59" t="s">
        <v>124</v>
      </c>
      <c r="FXK68" s="59" t="s">
        <v>101</v>
      </c>
      <c r="FXL68" s="56"/>
      <c r="FXM68" s="57"/>
      <c r="FXN68" s="57"/>
      <c r="FXO68" s="57"/>
      <c r="FXP68" s="57"/>
      <c r="FXQ68" s="57"/>
      <c r="FXR68" s="57"/>
      <c r="FXS68" s="59" t="s">
        <v>77</v>
      </c>
      <c r="FXT68" s="59" t="s">
        <v>78</v>
      </c>
      <c r="FXU68" s="59" t="s">
        <v>79</v>
      </c>
      <c r="FXV68" s="59" t="s">
        <v>80</v>
      </c>
      <c r="FXW68" s="59" t="s">
        <v>81</v>
      </c>
      <c r="FXX68" s="59" t="s">
        <v>64</v>
      </c>
      <c r="FXY68" s="59" t="s">
        <v>98</v>
      </c>
      <c r="FXZ68" s="59" t="s">
        <v>124</v>
      </c>
      <c r="FYA68" s="59" t="s">
        <v>101</v>
      </c>
      <c r="FYB68" s="56"/>
      <c r="FYC68" s="57"/>
      <c r="FYD68" s="57"/>
      <c r="FYE68" s="57"/>
      <c r="FYF68" s="57"/>
      <c r="FYG68" s="57"/>
      <c r="FYH68" s="57"/>
      <c r="FYI68" s="59" t="s">
        <v>77</v>
      </c>
      <c r="FYJ68" s="59" t="s">
        <v>78</v>
      </c>
      <c r="FYK68" s="59" t="s">
        <v>79</v>
      </c>
      <c r="FYL68" s="59" t="s">
        <v>80</v>
      </c>
      <c r="FYM68" s="59" t="s">
        <v>81</v>
      </c>
      <c r="FYN68" s="59" t="s">
        <v>64</v>
      </c>
      <c r="FYO68" s="59" t="s">
        <v>98</v>
      </c>
      <c r="FYP68" s="59" t="s">
        <v>124</v>
      </c>
      <c r="FYQ68" s="59" t="s">
        <v>101</v>
      </c>
      <c r="FYR68" s="56"/>
      <c r="FYS68" s="57"/>
      <c r="FYT68" s="57"/>
      <c r="FYU68" s="57"/>
      <c r="FYV68" s="57"/>
      <c r="FYW68" s="57"/>
      <c r="FYX68" s="57"/>
      <c r="FYY68" s="59" t="s">
        <v>77</v>
      </c>
      <c r="FYZ68" s="59" t="s">
        <v>78</v>
      </c>
      <c r="FZA68" s="59" t="s">
        <v>79</v>
      </c>
      <c r="FZB68" s="59" t="s">
        <v>80</v>
      </c>
      <c r="FZC68" s="59" t="s">
        <v>81</v>
      </c>
      <c r="FZD68" s="59" t="s">
        <v>64</v>
      </c>
      <c r="FZE68" s="59" t="s">
        <v>98</v>
      </c>
      <c r="FZF68" s="59" t="s">
        <v>124</v>
      </c>
      <c r="FZG68" s="59" t="s">
        <v>101</v>
      </c>
      <c r="FZH68" s="56"/>
      <c r="FZI68" s="57"/>
      <c r="FZJ68" s="57"/>
      <c r="FZK68" s="57"/>
      <c r="FZL68" s="57"/>
      <c r="FZM68" s="57"/>
      <c r="FZN68" s="57"/>
      <c r="FZO68" s="59" t="s">
        <v>77</v>
      </c>
      <c r="FZP68" s="59" t="s">
        <v>78</v>
      </c>
      <c r="FZQ68" s="59" t="s">
        <v>79</v>
      </c>
      <c r="FZR68" s="59" t="s">
        <v>80</v>
      </c>
      <c r="FZS68" s="59" t="s">
        <v>81</v>
      </c>
      <c r="FZT68" s="59" t="s">
        <v>64</v>
      </c>
      <c r="FZU68" s="59" t="s">
        <v>98</v>
      </c>
      <c r="FZV68" s="59" t="s">
        <v>124</v>
      </c>
      <c r="FZW68" s="59" t="s">
        <v>101</v>
      </c>
      <c r="FZX68" s="56"/>
      <c r="FZY68" s="57"/>
      <c r="FZZ68" s="57"/>
      <c r="GAA68" s="57"/>
      <c r="GAB68" s="57"/>
      <c r="GAC68" s="57"/>
      <c r="GAD68" s="57"/>
      <c r="GAE68" s="59" t="s">
        <v>77</v>
      </c>
      <c r="GAF68" s="59" t="s">
        <v>78</v>
      </c>
      <c r="GAG68" s="59" t="s">
        <v>79</v>
      </c>
      <c r="GAH68" s="59" t="s">
        <v>80</v>
      </c>
      <c r="GAI68" s="59" t="s">
        <v>81</v>
      </c>
      <c r="GAJ68" s="59" t="s">
        <v>64</v>
      </c>
      <c r="GAK68" s="59" t="s">
        <v>98</v>
      </c>
      <c r="GAL68" s="59" t="s">
        <v>124</v>
      </c>
      <c r="GAM68" s="59" t="s">
        <v>101</v>
      </c>
      <c r="GAN68" s="56"/>
      <c r="GAO68" s="57"/>
      <c r="GAP68" s="57"/>
      <c r="GAQ68" s="57"/>
      <c r="GAR68" s="57"/>
      <c r="GAS68" s="57"/>
      <c r="GAT68" s="57"/>
      <c r="GAU68" s="59" t="s">
        <v>77</v>
      </c>
      <c r="GAV68" s="59" t="s">
        <v>78</v>
      </c>
      <c r="GAW68" s="59" t="s">
        <v>79</v>
      </c>
      <c r="GAX68" s="59" t="s">
        <v>80</v>
      </c>
      <c r="GAY68" s="59" t="s">
        <v>81</v>
      </c>
      <c r="GAZ68" s="59" t="s">
        <v>64</v>
      </c>
      <c r="GBA68" s="59" t="s">
        <v>98</v>
      </c>
      <c r="GBB68" s="59" t="s">
        <v>124</v>
      </c>
      <c r="GBC68" s="59" t="s">
        <v>101</v>
      </c>
      <c r="GBD68" s="56"/>
      <c r="GBE68" s="57"/>
      <c r="GBF68" s="57"/>
      <c r="GBG68" s="57"/>
      <c r="GBH68" s="57"/>
      <c r="GBI68" s="57"/>
      <c r="GBJ68" s="57"/>
      <c r="GBK68" s="59" t="s">
        <v>77</v>
      </c>
      <c r="GBL68" s="59" t="s">
        <v>78</v>
      </c>
      <c r="GBM68" s="59" t="s">
        <v>79</v>
      </c>
      <c r="GBN68" s="59" t="s">
        <v>80</v>
      </c>
      <c r="GBO68" s="59" t="s">
        <v>81</v>
      </c>
      <c r="GBP68" s="59" t="s">
        <v>64</v>
      </c>
      <c r="GBQ68" s="59" t="s">
        <v>98</v>
      </c>
      <c r="GBR68" s="59" t="s">
        <v>124</v>
      </c>
      <c r="GBS68" s="59" t="s">
        <v>101</v>
      </c>
      <c r="GBT68" s="56"/>
      <c r="GBU68" s="57"/>
      <c r="GBV68" s="57"/>
      <c r="GBW68" s="57"/>
      <c r="GBX68" s="57"/>
      <c r="GBY68" s="57"/>
      <c r="GBZ68" s="57"/>
      <c r="GCA68" s="59" t="s">
        <v>77</v>
      </c>
      <c r="GCB68" s="59" t="s">
        <v>78</v>
      </c>
      <c r="GCC68" s="59" t="s">
        <v>79</v>
      </c>
      <c r="GCD68" s="59" t="s">
        <v>80</v>
      </c>
      <c r="GCE68" s="59" t="s">
        <v>81</v>
      </c>
      <c r="GCF68" s="59" t="s">
        <v>64</v>
      </c>
      <c r="GCG68" s="59" t="s">
        <v>98</v>
      </c>
      <c r="GCH68" s="59" t="s">
        <v>124</v>
      </c>
      <c r="GCI68" s="59" t="s">
        <v>101</v>
      </c>
      <c r="GCJ68" s="56"/>
      <c r="GCK68" s="57"/>
      <c r="GCL68" s="57"/>
      <c r="GCM68" s="57"/>
      <c r="GCN68" s="57"/>
      <c r="GCO68" s="57"/>
      <c r="GCP68" s="57"/>
      <c r="GCQ68" s="59" t="s">
        <v>77</v>
      </c>
      <c r="GCR68" s="59" t="s">
        <v>78</v>
      </c>
      <c r="GCS68" s="59" t="s">
        <v>79</v>
      </c>
      <c r="GCT68" s="59" t="s">
        <v>80</v>
      </c>
      <c r="GCU68" s="59" t="s">
        <v>81</v>
      </c>
      <c r="GCV68" s="59" t="s">
        <v>64</v>
      </c>
      <c r="GCW68" s="59" t="s">
        <v>98</v>
      </c>
      <c r="GCX68" s="59" t="s">
        <v>124</v>
      </c>
      <c r="GCY68" s="59" t="s">
        <v>101</v>
      </c>
      <c r="GCZ68" s="56"/>
      <c r="GDA68" s="57"/>
      <c r="GDB68" s="57"/>
      <c r="GDC68" s="57"/>
      <c r="GDD68" s="57"/>
      <c r="GDE68" s="57"/>
      <c r="GDF68" s="57"/>
      <c r="GDG68" s="59" t="s">
        <v>77</v>
      </c>
      <c r="GDH68" s="59" t="s">
        <v>78</v>
      </c>
      <c r="GDI68" s="59" t="s">
        <v>79</v>
      </c>
      <c r="GDJ68" s="59" t="s">
        <v>80</v>
      </c>
      <c r="GDK68" s="59" t="s">
        <v>81</v>
      </c>
      <c r="GDL68" s="59" t="s">
        <v>64</v>
      </c>
      <c r="GDM68" s="59" t="s">
        <v>98</v>
      </c>
      <c r="GDN68" s="59" t="s">
        <v>124</v>
      </c>
      <c r="GDO68" s="59" t="s">
        <v>101</v>
      </c>
      <c r="GDP68" s="56"/>
      <c r="GDQ68" s="57"/>
      <c r="GDR68" s="57"/>
      <c r="GDS68" s="57"/>
      <c r="GDT68" s="57"/>
      <c r="GDU68" s="57"/>
      <c r="GDV68" s="57"/>
      <c r="GDW68" s="59" t="s">
        <v>77</v>
      </c>
      <c r="GDX68" s="59" t="s">
        <v>78</v>
      </c>
      <c r="GDY68" s="59" t="s">
        <v>79</v>
      </c>
      <c r="GDZ68" s="59" t="s">
        <v>80</v>
      </c>
      <c r="GEA68" s="59" t="s">
        <v>81</v>
      </c>
      <c r="GEB68" s="59" t="s">
        <v>64</v>
      </c>
      <c r="GEC68" s="59" t="s">
        <v>98</v>
      </c>
      <c r="GED68" s="59" t="s">
        <v>124</v>
      </c>
      <c r="GEE68" s="59" t="s">
        <v>101</v>
      </c>
      <c r="GEF68" s="56"/>
      <c r="GEG68" s="57"/>
      <c r="GEH68" s="57"/>
      <c r="GEI68" s="57"/>
      <c r="GEJ68" s="57"/>
      <c r="GEK68" s="57"/>
      <c r="GEL68" s="57"/>
      <c r="GEM68" s="59" t="s">
        <v>77</v>
      </c>
      <c r="GEN68" s="59" t="s">
        <v>78</v>
      </c>
      <c r="GEO68" s="59" t="s">
        <v>79</v>
      </c>
      <c r="GEP68" s="59" t="s">
        <v>80</v>
      </c>
      <c r="GEQ68" s="59" t="s">
        <v>81</v>
      </c>
      <c r="GER68" s="59" t="s">
        <v>64</v>
      </c>
      <c r="GES68" s="59" t="s">
        <v>98</v>
      </c>
      <c r="GET68" s="59" t="s">
        <v>124</v>
      </c>
      <c r="GEU68" s="59" t="s">
        <v>101</v>
      </c>
      <c r="GEV68" s="56"/>
      <c r="GEW68" s="57"/>
      <c r="GEX68" s="57"/>
      <c r="GEY68" s="57"/>
      <c r="GEZ68" s="57"/>
      <c r="GFA68" s="57"/>
      <c r="GFB68" s="57"/>
      <c r="GFC68" s="59" t="s">
        <v>77</v>
      </c>
      <c r="GFD68" s="59" t="s">
        <v>78</v>
      </c>
      <c r="GFE68" s="59" t="s">
        <v>79</v>
      </c>
      <c r="GFF68" s="59" t="s">
        <v>80</v>
      </c>
      <c r="GFG68" s="59" t="s">
        <v>81</v>
      </c>
      <c r="GFH68" s="59" t="s">
        <v>64</v>
      </c>
      <c r="GFI68" s="59" t="s">
        <v>98</v>
      </c>
      <c r="GFJ68" s="59" t="s">
        <v>124</v>
      </c>
      <c r="GFK68" s="59" t="s">
        <v>101</v>
      </c>
      <c r="GFL68" s="56"/>
      <c r="GFM68" s="57"/>
      <c r="GFN68" s="57"/>
      <c r="GFO68" s="57"/>
      <c r="GFP68" s="57"/>
      <c r="GFQ68" s="57"/>
      <c r="GFR68" s="57"/>
      <c r="GFS68" s="59" t="s">
        <v>77</v>
      </c>
      <c r="GFT68" s="59" t="s">
        <v>78</v>
      </c>
      <c r="GFU68" s="59" t="s">
        <v>79</v>
      </c>
      <c r="GFV68" s="59" t="s">
        <v>80</v>
      </c>
      <c r="GFW68" s="59" t="s">
        <v>81</v>
      </c>
      <c r="GFX68" s="59" t="s">
        <v>64</v>
      </c>
      <c r="GFY68" s="59" t="s">
        <v>98</v>
      </c>
      <c r="GFZ68" s="59" t="s">
        <v>124</v>
      </c>
      <c r="GGA68" s="59" t="s">
        <v>101</v>
      </c>
      <c r="GGB68" s="56"/>
      <c r="GGC68" s="57"/>
      <c r="GGD68" s="57"/>
      <c r="GGE68" s="57"/>
      <c r="GGF68" s="57"/>
      <c r="GGG68" s="57"/>
      <c r="GGH68" s="57"/>
      <c r="GGI68" s="59" t="s">
        <v>77</v>
      </c>
      <c r="GGJ68" s="59" t="s">
        <v>78</v>
      </c>
      <c r="GGK68" s="59" t="s">
        <v>79</v>
      </c>
      <c r="GGL68" s="59" t="s">
        <v>80</v>
      </c>
      <c r="GGM68" s="59" t="s">
        <v>81</v>
      </c>
      <c r="GGN68" s="59" t="s">
        <v>64</v>
      </c>
      <c r="GGO68" s="59" t="s">
        <v>98</v>
      </c>
      <c r="GGP68" s="59" t="s">
        <v>124</v>
      </c>
      <c r="GGQ68" s="59" t="s">
        <v>101</v>
      </c>
      <c r="GGR68" s="56"/>
      <c r="GGS68" s="57"/>
      <c r="GGT68" s="57"/>
      <c r="GGU68" s="57"/>
      <c r="GGV68" s="57"/>
      <c r="GGW68" s="57"/>
      <c r="GGX68" s="57"/>
      <c r="GGY68" s="59" t="s">
        <v>77</v>
      </c>
      <c r="GGZ68" s="59" t="s">
        <v>78</v>
      </c>
      <c r="GHA68" s="59" t="s">
        <v>79</v>
      </c>
      <c r="GHB68" s="59" t="s">
        <v>80</v>
      </c>
      <c r="GHC68" s="59" t="s">
        <v>81</v>
      </c>
      <c r="GHD68" s="59" t="s">
        <v>64</v>
      </c>
      <c r="GHE68" s="59" t="s">
        <v>98</v>
      </c>
      <c r="GHF68" s="59" t="s">
        <v>124</v>
      </c>
      <c r="GHG68" s="59" t="s">
        <v>101</v>
      </c>
      <c r="GHH68" s="56"/>
      <c r="GHI68" s="57"/>
      <c r="GHJ68" s="57"/>
      <c r="GHK68" s="57"/>
      <c r="GHL68" s="57"/>
      <c r="GHM68" s="57"/>
      <c r="GHN68" s="57"/>
      <c r="GHO68" s="59" t="s">
        <v>77</v>
      </c>
      <c r="GHP68" s="59" t="s">
        <v>78</v>
      </c>
      <c r="GHQ68" s="59" t="s">
        <v>79</v>
      </c>
      <c r="GHR68" s="59" t="s">
        <v>80</v>
      </c>
      <c r="GHS68" s="59" t="s">
        <v>81</v>
      </c>
      <c r="GHT68" s="59" t="s">
        <v>64</v>
      </c>
      <c r="GHU68" s="59" t="s">
        <v>98</v>
      </c>
      <c r="GHV68" s="59" t="s">
        <v>124</v>
      </c>
      <c r="GHW68" s="59" t="s">
        <v>101</v>
      </c>
      <c r="GHX68" s="56"/>
      <c r="GHY68" s="57"/>
      <c r="GHZ68" s="57"/>
      <c r="GIA68" s="57"/>
      <c r="GIB68" s="57"/>
      <c r="GIC68" s="57"/>
      <c r="GID68" s="57"/>
      <c r="GIE68" s="59" t="s">
        <v>77</v>
      </c>
      <c r="GIF68" s="59" t="s">
        <v>78</v>
      </c>
      <c r="GIG68" s="59" t="s">
        <v>79</v>
      </c>
      <c r="GIH68" s="59" t="s">
        <v>80</v>
      </c>
      <c r="GII68" s="59" t="s">
        <v>81</v>
      </c>
      <c r="GIJ68" s="59" t="s">
        <v>64</v>
      </c>
      <c r="GIK68" s="59" t="s">
        <v>98</v>
      </c>
      <c r="GIL68" s="59" t="s">
        <v>124</v>
      </c>
      <c r="GIM68" s="59" t="s">
        <v>101</v>
      </c>
      <c r="GIN68" s="56"/>
      <c r="GIO68" s="57"/>
      <c r="GIP68" s="57"/>
      <c r="GIQ68" s="57"/>
      <c r="GIR68" s="57"/>
      <c r="GIS68" s="57"/>
      <c r="GIT68" s="57"/>
      <c r="GIU68" s="59" t="s">
        <v>77</v>
      </c>
      <c r="GIV68" s="59" t="s">
        <v>78</v>
      </c>
      <c r="GIW68" s="59" t="s">
        <v>79</v>
      </c>
      <c r="GIX68" s="59" t="s">
        <v>80</v>
      </c>
      <c r="GIY68" s="59" t="s">
        <v>81</v>
      </c>
      <c r="GIZ68" s="59" t="s">
        <v>64</v>
      </c>
      <c r="GJA68" s="59" t="s">
        <v>98</v>
      </c>
      <c r="GJB68" s="59" t="s">
        <v>124</v>
      </c>
      <c r="GJC68" s="59" t="s">
        <v>101</v>
      </c>
      <c r="GJD68" s="56"/>
      <c r="GJE68" s="57"/>
      <c r="GJF68" s="57"/>
      <c r="GJG68" s="57"/>
      <c r="GJH68" s="57"/>
      <c r="GJI68" s="57"/>
      <c r="GJJ68" s="57"/>
      <c r="GJK68" s="59" t="s">
        <v>77</v>
      </c>
      <c r="GJL68" s="59" t="s">
        <v>78</v>
      </c>
      <c r="GJM68" s="59" t="s">
        <v>79</v>
      </c>
      <c r="GJN68" s="59" t="s">
        <v>80</v>
      </c>
      <c r="GJO68" s="59" t="s">
        <v>81</v>
      </c>
      <c r="GJP68" s="59" t="s">
        <v>64</v>
      </c>
      <c r="GJQ68" s="59" t="s">
        <v>98</v>
      </c>
      <c r="GJR68" s="59" t="s">
        <v>124</v>
      </c>
      <c r="GJS68" s="59" t="s">
        <v>101</v>
      </c>
      <c r="GJT68" s="56"/>
      <c r="GJU68" s="57"/>
      <c r="GJV68" s="57"/>
      <c r="GJW68" s="57"/>
      <c r="GJX68" s="57"/>
      <c r="GJY68" s="57"/>
      <c r="GJZ68" s="57"/>
      <c r="GKA68" s="59" t="s">
        <v>77</v>
      </c>
      <c r="GKB68" s="59" t="s">
        <v>78</v>
      </c>
      <c r="GKC68" s="59" t="s">
        <v>79</v>
      </c>
      <c r="GKD68" s="59" t="s">
        <v>80</v>
      </c>
      <c r="GKE68" s="59" t="s">
        <v>81</v>
      </c>
      <c r="GKF68" s="59" t="s">
        <v>64</v>
      </c>
      <c r="GKG68" s="59" t="s">
        <v>98</v>
      </c>
      <c r="GKH68" s="59" t="s">
        <v>124</v>
      </c>
      <c r="GKI68" s="59" t="s">
        <v>101</v>
      </c>
      <c r="GKJ68" s="56"/>
      <c r="GKK68" s="57"/>
      <c r="GKL68" s="57"/>
      <c r="GKM68" s="57"/>
      <c r="GKN68" s="57"/>
      <c r="GKO68" s="57"/>
      <c r="GKP68" s="57"/>
      <c r="GKQ68" s="59" t="s">
        <v>77</v>
      </c>
      <c r="GKR68" s="59" t="s">
        <v>78</v>
      </c>
      <c r="GKS68" s="59" t="s">
        <v>79</v>
      </c>
      <c r="GKT68" s="59" t="s">
        <v>80</v>
      </c>
      <c r="GKU68" s="59" t="s">
        <v>81</v>
      </c>
      <c r="GKV68" s="59" t="s">
        <v>64</v>
      </c>
      <c r="GKW68" s="59" t="s">
        <v>98</v>
      </c>
      <c r="GKX68" s="59" t="s">
        <v>124</v>
      </c>
      <c r="GKY68" s="59" t="s">
        <v>101</v>
      </c>
      <c r="GKZ68" s="56"/>
      <c r="GLA68" s="57"/>
      <c r="GLB68" s="57"/>
      <c r="GLC68" s="57"/>
      <c r="GLD68" s="57"/>
      <c r="GLE68" s="57"/>
      <c r="GLF68" s="57"/>
      <c r="GLG68" s="59" t="s">
        <v>77</v>
      </c>
      <c r="GLH68" s="59" t="s">
        <v>78</v>
      </c>
      <c r="GLI68" s="59" t="s">
        <v>79</v>
      </c>
      <c r="GLJ68" s="59" t="s">
        <v>80</v>
      </c>
      <c r="GLK68" s="59" t="s">
        <v>81</v>
      </c>
      <c r="GLL68" s="59" t="s">
        <v>64</v>
      </c>
      <c r="GLM68" s="59" t="s">
        <v>98</v>
      </c>
      <c r="GLN68" s="59" t="s">
        <v>124</v>
      </c>
      <c r="GLO68" s="59" t="s">
        <v>101</v>
      </c>
      <c r="GLP68" s="56"/>
      <c r="GLQ68" s="57"/>
      <c r="GLR68" s="57"/>
      <c r="GLS68" s="57"/>
      <c r="GLT68" s="57"/>
      <c r="GLU68" s="57"/>
      <c r="GLV68" s="57"/>
      <c r="GLW68" s="59" t="s">
        <v>77</v>
      </c>
      <c r="GLX68" s="59" t="s">
        <v>78</v>
      </c>
      <c r="GLY68" s="59" t="s">
        <v>79</v>
      </c>
      <c r="GLZ68" s="59" t="s">
        <v>80</v>
      </c>
      <c r="GMA68" s="59" t="s">
        <v>81</v>
      </c>
      <c r="GMB68" s="59" t="s">
        <v>64</v>
      </c>
      <c r="GMC68" s="59" t="s">
        <v>98</v>
      </c>
      <c r="GMD68" s="59" t="s">
        <v>124</v>
      </c>
      <c r="GME68" s="59" t="s">
        <v>101</v>
      </c>
      <c r="GMF68" s="56"/>
      <c r="GMG68" s="57"/>
      <c r="GMH68" s="57"/>
      <c r="GMI68" s="57"/>
      <c r="GMJ68" s="57"/>
      <c r="GMK68" s="57"/>
      <c r="GML68" s="57"/>
      <c r="GMM68" s="59" t="s">
        <v>77</v>
      </c>
      <c r="GMN68" s="59" t="s">
        <v>78</v>
      </c>
      <c r="GMO68" s="59" t="s">
        <v>79</v>
      </c>
      <c r="GMP68" s="59" t="s">
        <v>80</v>
      </c>
      <c r="GMQ68" s="59" t="s">
        <v>81</v>
      </c>
      <c r="GMR68" s="59" t="s">
        <v>64</v>
      </c>
      <c r="GMS68" s="59" t="s">
        <v>98</v>
      </c>
      <c r="GMT68" s="59" t="s">
        <v>124</v>
      </c>
      <c r="GMU68" s="59" t="s">
        <v>101</v>
      </c>
      <c r="GMV68" s="56"/>
      <c r="GMW68" s="57"/>
      <c r="GMX68" s="57"/>
      <c r="GMY68" s="57"/>
      <c r="GMZ68" s="57"/>
      <c r="GNA68" s="57"/>
      <c r="GNB68" s="57"/>
      <c r="GNC68" s="59" t="s">
        <v>77</v>
      </c>
      <c r="GND68" s="59" t="s">
        <v>78</v>
      </c>
      <c r="GNE68" s="59" t="s">
        <v>79</v>
      </c>
      <c r="GNF68" s="59" t="s">
        <v>80</v>
      </c>
      <c r="GNG68" s="59" t="s">
        <v>81</v>
      </c>
      <c r="GNH68" s="59" t="s">
        <v>64</v>
      </c>
      <c r="GNI68" s="59" t="s">
        <v>98</v>
      </c>
      <c r="GNJ68" s="59" t="s">
        <v>124</v>
      </c>
      <c r="GNK68" s="59" t="s">
        <v>101</v>
      </c>
      <c r="GNL68" s="56"/>
      <c r="GNM68" s="57"/>
      <c r="GNN68" s="57"/>
      <c r="GNO68" s="57"/>
      <c r="GNP68" s="57"/>
      <c r="GNQ68" s="57"/>
      <c r="GNR68" s="57"/>
      <c r="GNS68" s="59" t="s">
        <v>77</v>
      </c>
      <c r="GNT68" s="59" t="s">
        <v>78</v>
      </c>
      <c r="GNU68" s="59" t="s">
        <v>79</v>
      </c>
      <c r="GNV68" s="59" t="s">
        <v>80</v>
      </c>
      <c r="GNW68" s="59" t="s">
        <v>81</v>
      </c>
      <c r="GNX68" s="59" t="s">
        <v>64</v>
      </c>
      <c r="GNY68" s="59" t="s">
        <v>98</v>
      </c>
      <c r="GNZ68" s="59" t="s">
        <v>124</v>
      </c>
      <c r="GOA68" s="59" t="s">
        <v>101</v>
      </c>
      <c r="GOB68" s="56"/>
      <c r="GOC68" s="57"/>
      <c r="GOD68" s="57"/>
      <c r="GOE68" s="57"/>
      <c r="GOF68" s="57"/>
      <c r="GOG68" s="57"/>
      <c r="GOH68" s="57"/>
      <c r="GOI68" s="59" t="s">
        <v>77</v>
      </c>
      <c r="GOJ68" s="59" t="s">
        <v>78</v>
      </c>
      <c r="GOK68" s="59" t="s">
        <v>79</v>
      </c>
      <c r="GOL68" s="59" t="s">
        <v>80</v>
      </c>
      <c r="GOM68" s="59" t="s">
        <v>81</v>
      </c>
      <c r="GON68" s="59" t="s">
        <v>64</v>
      </c>
      <c r="GOO68" s="59" t="s">
        <v>98</v>
      </c>
      <c r="GOP68" s="59" t="s">
        <v>124</v>
      </c>
      <c r="GOQ68" s="59" t="s">
        <v>101</v>
      </c>
      <c r="GOR68" s="56"/>
      <c r="GOS68" s="57"/>
      <c r="GOT68" s="57"/>
      <c r="GOU68" s="57"/>
      <c r="GOV68" s="57"/>
      <c r="GOW68" s="57"/>
      <c r="GOX68" s="57"/>
      <c r="GOY68" s="59" t="s">
        <v>77</v>
      </c>
      <c r="GOZ68" s="59" t="s">
        <v>78</v>
      </c>
      <c r="GPA68" s="59" t="s">
        <v>79</v>
      </c>
      <c r="GPB68" s="59" t="s">
        <v>80</v>
      </c>
      <c r="GPC68" s="59" t="s">
        <v>81</v>
      </c>
      <c r="GPD68" s="59" t="s">
        <v>64</v>
      </c>
      <c r="GPE68" s="59" t="s">
        <v>98</v>
      </c>
      <c r="GPF68" s="59" t="s">
        <v>124</v>
      </c>
      <c r="GPG68" s="59" t="s">
        <v>101</v>
      </c>
      <c r="GPH68" s="56"/>
      <c r="GPI68" s="57"/>
      <c r="GPJ68" s="57"/>
      <c r="GPK68" s="57"/>
      <c r="GPL68" s="57"/>
      <c r="GPM68" s="57"/>
      <c r="GPN68" s="57"/>
      <c r="GPO68" s="59" t="s">
        <v>77</v>
      </c>
      <c r="GPP68" s="59" t="s">
        <v>78</v>
      </c>
      <c r="GPQ68" s="59" t="s">
        <v>79</v>
      </c>
      <c r="GPR68" s="59" t="s">
        <v>80</v>
      </c>
      <c r="GPS68" s="59" t="s">
        <v>81</v>
      </c>
      <c r="GPT68" s="59" t="s">
        <v>64</v>
      </c>
      <c r="GPU68" s="59" t="s">
        <v>98</v>
      </c>
      <c r="GPV68" s="59" t="s">
        <v>124</v>
      </c>
      <c r="GPW68" s="59" t="s">
        <v>101</v>
      </c>
      <c r="GPX68" s="56"/>
      <c r="GPY68" s="57"/>
      <c r="GPZ68" s="57"/>
      <c r="GQA68" s="57"/>
      <c r="GQB68" s="57"/>
      <c r="GQC68" s="57"/>
      <c r="GQD68" s="57"/>
      <c r="GQE68" s="59" t="s">
        <v>77</v>
      </c>
      <c r="GQF68" s="59" t="s">
        <v>78</v>
      </c>
      <c r="GQG68" s="59" t="s">
        <v>79</v>
      </c>
      <c r="GQH68" s="59" t="s">
        <v>80</v>
      </c>
      <c r="GQI68" s="59" t="s">
        <v>81</v>
      </c>
      <c r="GQJ68" s="59" t="s">
        <v>64</v>
      </c>
      <c r="GQK68" s="59" t="s">
        <v>98</v>
      </c>
      <c r="GQL68" s="59" t="s">
        <v>124</v>
      </c>
      <c r="GQM68" s="59" t="s">
        <v>101</v>
      </c>
      <c r="GQN68" s="56"/>
      <c r="GQO68" s="57"/>
      <c r="GQP68" s="57"/>
      <c r="GQQ68" s="57"/>
      <c r="GQR68" s="57"/>
      <c r="GQS68" s="57"/>
      <c r="GQT68" s="57"/>
      <c r="GQU68" s="59" t="s">
        <v>77</v>
      </c>
      <c r="GQV68" s="59" t="s">
        <v>78</v>
      </c>
      <c r="GQW68" s="59" t="s">
        <v>79</v>
      </c>
      <c r="GQX68" s="59" t="s">
        <v>80</v>
      </c>
      <c r="GQY68" s="59" t="s">
        <v>81</v>
      </c>
      <c r="GQZ68" s="59" t="s">
        <v>64</v>
      </c>
      <c r="GRA68" s="59" t="s">
        <v>98</v>
      </c>
      <c r="GRB68" s="59" t="s">
        <v>124</v>
      </c>
      <c r="GRC68" s="59" t="s">
        <v>101</v>
      </c>
      <c r="GRD68" s="56"/>
      <c r="GRE68" s="57"/>
      <c r="GRF68" s="57"/>
      <c r="GRG68" s="57"/>
      <c r="GRH68" s="57"/>
      <c r="GRI68" s="57"/>
      <c r="GRJ68" s="57"/>
      <c r="GRK68" s="59" t="s">
        <v>77</v>
      </c>
      <c r="GRL68" s="59" t="s">
        <v>78</v>
      </c>
      <c r="GRM68" s="59" t="s">
        <v>79</v>
      </c>
      <c r="GRN68" s="59" t="s">
        <v>80</v>
      </c>
      <c r="GRO68" s="59" t="s">
        <v>81</v>
      </c>
      <c r="GRP68" s="59" t="s">
        <v>64</v>
      </c>
      <c r="GRQ68" s="59" t="s">
        <v>98</v>
      </c>
      <c r="GRR68" s="59" t="s">
        <v>124</v>
      </c>
      <c r="GRS68" s="59" t="s">
        <v>101</v>
      </c>
      <c r="GRT68" s="56"/>
      <c r="GRU68" s="57"/>
      <c r="GRV68" s="57"/>
      <c r="GRW68" s="57"/>
      <c r="GRX68" s="57"/>
      <c r="GRY68" s="57"/>
      <c r="GRZ68" s="57"/>
      <c r="GSA68" s="59" t="s">
        <v>77</v>
      </c>
      <c r="GSB68" s="59" t="s">
        <v>78</v>
      </c>
      <c r="GSC68" s="59" t="s">
        <v>79</v>
      </c>
      <c r="GSD68" s="59" t="s">
        <v>80</v>
      </c>
      <c r="GSE68" s="59" t="s">
        <v>81</v>
      </c>
      <c r="GSF68" s="59" t="s">
        <v>64</v>
      </c>
      <c r="GSG68" s="59" t="s">
        <v>98</v>
      </c>
      <c r="GSH68" s="59" t="s">
        <v>124</v>
      </c>
      <c r="GSI68" s="59" t="s">
        <v>101</v>
      </c>
      <c r="GSJ68" s="56"/>
      <c r="GSK68" s="57"/>
      <c r="GSL68" s="57"/>
      <c r="GSM68" s="57"/>
      <c r="GSN68" s="57"/>
      <c r="GSO68" s="57"/>
      <c r="GSP68" s="57"/>
      <c r="GSQ68" s="59" t="s">
        <v>77</v>
      </c>
      <c r="GSR68" s="59" t="s">
        <v>78</v>
      </c>
      <c r="GSS68" s="59" t="s">
        <v>79</v>
      </c>
      <c r="GST68" s="59" t="s">
        <v>80</v>
      </c>
      <c r="GSU68" s="59" t="s">
        <v>81</v>
      </c>
      <c r="GSV68" s="59" t="s">
        <v>64</v>
      </c>
      <c r="GSW68" s="59" t="s">
        <v>98</v>
      </c>
      <c r="GSX68" s="59" t="s">
        <v>124</v>
      </c>
      <c r="GSY68" s="59" t="s">
        <v>101</v>
      </c>
      <c r="GSZ68" s="56"/>
      <c r="GTA68" s="57"/>
      <c r="GTB68" s="57"/>
      <c r="GTC68" s="57"/>
      <c r="GTD68" s="57"/>
      <c r="GTE68" s="57"/>
      <c r="GTF68" s="57"/>
      <c r="GTG68" s="59" t="s">
        <v>77</v>
      </c>
      <c r="GTH68" s="59" t="s">
        <v>78</v>
      </c>
      <c r="GTI68" s="59" t="s">
        <v>79</v>
      </c>
      <c r="GTJ68" s="59" t="s">
        <v>80</v>
      </c>
      <c r="GTK68" s="59" t="s">
        <v>81</v>
      </c>
      <c r="GTL68" s="59" t="s">
        <v>64</v>
      </c>
      <c r="GTM68" s="59" t="s">
        <v>98</v>
      </c>
      <c r="GTN68" s="59" t="s">
        <v>124</v>
      </c>
      <c r="GTO68" s="59" t="s">
        <v>101</v>
      </c>
      <c r="GTP68" s="56"/>
      <c r="GTQ68" s="57"/>
      <c r="GTR68" s="57"/>
      <c r="GTS68" s="57"/>
      <c r="GTT68" s="57"/>
      <c r="GTU68" s="57"/>
      <c r="GTV68" s="57"/>
      <c r="GTW68" s="59" t="s">
        <v>77</v>
      </c>
      <c r="GTX68" s="59" t="s">
        <v>78</v>
      </c>
      <c r="GTY68" s="59" t="s">
        <v>79</v>
      </c>
      <c r="GTZ68" s="59" t="s">
        <v>80</v>
      </c>
      <c r="GUA68" s="59" t="s">
        <v>81</v>
      </c>
      <c r="GUB68" s="59" t="s">
        <v>64</v>
      </c>
      <c r="GUC68" s="59" t="s">
        <v>98</v>
      </c>
      <c r="GUD68" s="59" t="s">
        <v>124</v>
      </c>
      <c r="GUE68" s="59" t="s">
        <v>101</v>
      </c>
      <c r="GUF68" s="56"/>
      <c r="GUG68" s="57"/>
      <c r="GUH68" s="57"/>
      <c r="GUI68" s="57"/>
      <c r="GUJ68" s="57"/>
      <c r="GUK68" s="57"/>
      <c r="GUL68" s="57"/>
      <c r="GUM68" s="59" t="s">
        <v>77</v>
      </c>
      <c r="GUN68" s="59" t="s">
        <v>78</v>
      </c>
      <c r="GUO68" s="59" t="s">
        <v>79</v>
      </c>
      <c r="GUP68" s="59" t="s">
        <v>80</v>
      </c>
      <c r="GUQ68" s="59" t="s">
        <v>81</v>
      </c>
      <c r="GUR68" s="59" t="s">
        <v>64</v>
      </c>
      <c r="GUS68" s="59" t="s">
        <v>98</v>
      </c>
      <c r="GUT68" s="59" t="s">
        <v>124</v>
      </c>
      <c r="GUU68" s="59" t="s">
        <v>101</v>
      </c>
      <c r="GUV68" s="56"/>
      <c r="GUW68" s="57"/>
      <c r="GUX68" s="57"/>
      <c r="GUY68" s="57"/>
      <c r="GUZ68" s="57"/>
      <c r="GVA68" s="57"/>
      <c r="GVB68" s="57"/>
      <c r="GVC68" s="59" t="s">
        <v>77</v>
      </c>
      <c r="GVD68" s="59" t="s">
        <v>78</v>
      </c>
      <c r="GVE68" s="59" t="s">
        <v>79</v>
      </c>
      <c r="GVF68" s="59" t="s">
        <v>80</v>
      </c>
      <c r="GVG68" s="59" t="s">
        <v>81</v>
      </c>
      <c r="GVH68" s="59" t="s">
        <v>64</v>
      </c>
      <c r="GVI68" s="59" t="s">
        <v>98</v>
      </c>
      <c r="GVJ68" s="59" t="s">
        <v>124</v>
      </c>
      <c r="GVK68" s="59" t="s">
        <v>101</v>
      </c>
      <c r="GVL68" s="56"/>
      <c r="GVM68" s="57"/>
      <c r="GVN68" s="57"/>
      <c r="GVO68" s="57"/>
      <c r="GVP68" s="57"/>
      <c r="GVQ68" s="57"/>
      <c r="GVR68" s="57"/>
      <c r="GVS68" s="59" t="s">
        <v>77</v>
      </c>
      <c r="GVT68" s="59" t="s">
        <v>78</v>
      </c>
      <c r="GVU68" s="59" t="s">
        <v>79</v>
      </c>
      <c r="GVV68" s="59" t="s">
        <v>80</v>
      </c>
      <c r="GVW68" s="59" t="s">
        <v>81</v>
      </c>
      <c r="GVX68" s="59" t="s">
        <v>64</v>
      </c>
      <c r="GVY68" s="59" t="s">
        <v>98</v>
      </c>
      <c r="GVZ68" s="59" t="s">
        <v>124</v>
      </c>
      <c r="GWA68" s="59" t="s">
        <v>101</v>
      </c>
      <c r="GWB68" s="56"/>
      <c r="GWC68" s="57"/>
      <c r="GWD68" s="57"/>
      <c r="GWE68" s="57"/>
      <c r="GWF68" s="57"/>
      <c r="GWG68" s="57"/>
      <c r="GWH68" s="57"/>
      <c r="GWI68" s="59" t="s">
        <v>77</v>
      </c>
      <c r="GWJ68" s="59" t="s">
        <v>78</v>
      </c>
      <c r="GWK68" s="59" t="s">
        <v>79</v>
      </c>
      <c r="GWL68" s="59" t="s">
        <v>80</v>
      </c>
      <c r="GWM68" s="59" t="s">
        <v>81</v>
      </c>
      <c r="GWN68" s="59" t="s">
        <v>64</v>
      </c>
      <c r="GWO68" s="59" t="s">
        <v>98</v>
      </c>
      <c r="GWP68" s="59" t="s">
        <v>124</v>
      </c>
      <c r="GWQ68" s="59" t="s">
        <v>101</v>
      </c>
      <c r="GWR68" s="56"/>
      <c r="GWS68" s="57"/>
      <c r="GWT68" s="57"/>
      <c r="GWU68" s="57"/>
      <c r="GWV68" s="57"/>
      <c r="GWW68" s="57"/>
      <c r="GWX68" s="57"/>
      <c r="GWY68" s="59" t="s">
        <v>77</v>
      </c>
      <c r="GWZ68" s="59" t="s">
        <v>78</v>
      </c>
      <c r="GXA68" s="59" t="s">
        <v>79</v>
      </c>
      <c r="GXB68" s="59" t="s">
        <v>80</v>
      </c>
      <c r="GXC68" s="59" t="s">
        <v>81</v>
      </c>
      <c r="GXD68" s="59" t="s">
        <v>64</v>
      </c>
      <c r="GXE68" s="59" t="s">
        <v>98</v>
      </c>
      <c r="GXF68" s="59" t="s">
        <v>124</v>
      </c>
      <c r="GXG68" s="59" t="s">
        <v>101</v>
      </c>
      <c r="GXH68" s="56"/>
      <c r="GXI68" s="57"/>
      <c r="GXJ68" s="57"/>
      <c r="GXK68" s="57"/>
      <c r="GXL68" s="57"/>
      <c r="GXM68" s="57"/>
      <c r="GXN68" s="57"/>
      <c r="GXO68" s="59" t="s">
        <v>77</v>
      </c>
      <c r="GXP68" s="59" t="s">
        <v>78</v>
      </c>
      <c r="GXQ68" s="59" t="s">
        <v>79</v>
      </c>
      <c r="GXR68" s="59" t="s">
        <v>80</v>
      </c>
      <c r="GXS68" s="59" t="s">
        <v>81</v>
      </c>
      <c r="GXT68" s="59" t="s">
        <v>64</v>
      </c>
      <c r="GXU68" s="59" t="s">
        <v>98</v>
      </c>
      <c r="GXV68" s="59" t="s">
        <v>124</v>
      </c>
      <c r="GXW68" s="59" t="s">
        <v>101</v>
      </c>
      <c r="GXX68" s="56"/>
      <c r="GXY68" s="57"/>
      <c r="GXZ68" s="57"/>
      <c r="GYA68" s="57"/>
      <c r="GYB68" s="57"/>
      <c r="GYC68" s="57"/>
      <c r="GYD68" s="57"/>
      <c r="GYE68" s="59" t="s">
        <v>77</v>
      </c>
      <c r="GYF68" s="59" t="s">
        <v>78</v>
      </c>
      <c r="GYG68" s="59" t="s">
        <v>79</v>
      </c>
      <c r="GYH68" s="59" t="s">
        <v>80</v>
      </c>
      <c r="GYI68" s="59" t="s">
        <v>81</v>
      </c>
      <c r="GYJ68" s="59" t="s">
        <v>64</v>
      </c>
      <c r="GYK68" s="59" t="s">
        <v>98</v>
      </c>
      <c r="GYL68" s="59" t="s">
        <v>124</v>
      </c>
      <c r="GYM68" s="59" t="s">
        <v>101</v>
      </c>
      <c r="GYN68" s="56"/>
      <c r="GYO68" s="57"/>
      <c r="GYP68" s="57"/>
      <c r="GYQ68" s="57"/>
      <c r="GYR68" s="57"/>
      <c r="GYS68" s="57"/>
      <c r="GYT68" s="57"/>
      <c r="GYU68" s="59" t="s">
        <v>77</v>
      </c>
      <c r="GYV68" s="59" t="s">
        <v>78</v>
      </c>
      <c r="GYW68" s="59" t="s">
        <v>79</v>
      </c>
      <c r="GYX68" s="59" t="s">
        <v>80</v>
      </c>
      <c r="GYY68" s="59" t="s">
        <v>81</v>
      </c>
      <c r="GYZ68" s="59" t="s">
        <v>64</v>
      </c>
      <c r="GZA68" s="59" t="s">
        <v>98</v>
      </c>
      <c r="GZB68" s="59" t="s">
        <v>124</v>
      </c>
      <c r="GZC68" s="59" t="s">
        <v>101</v>
      </c>
      <c r="GZD68" s="56"/>
      <c r="GZE68" s="57"/>
      <c r="GZF68" s="57"/>
      <c r="GZG68" s="57"/>
      <c r="GZH68" s="57"/>
      <c r="GZI68" s="57"/>
      <c r="GZJ68" s="57"/>
      <c r="GZK68" s="59" t="s">
        <v>77</v>
      </c>
      <c r="GZL68" s="59" t="s">
        <v>78</v>
      </c>
      <c r="GZM68" s="59" t="s">
        <v>79</v>
      </c>
      <c r="GZN68" s="59" t="s">
        <v>80</v>
      </c>
      <c r="GZO68" s="59" t="s">
        <v>81</v>
      </c>
      <c r="GZP68" s="59" t="s">
        <v>64</v>
      </c>
      <c r="GZQ68" s="59" t="s">
        <v>98</v>
      </c>
      <c r="GZR68" s="59" t="s">
        <v>124</v>
      </c>
      <c r="GZS68" s="59" t="s">
        <v>101</v>
      </c>
      <c r="GZT68" s="56"/>
      <c r="GZU68" s="57"/>
      <c r="GZV68" s="57"/>
      <c r="GZW68" s="57"/>
      <c r="GZX68" s="57"/>
      <c r="GZY68" s="57"/>
      <c r="GZZ68" s="57"/>
      <c r="HAA68" s="59" t="s">
        <v>77</v>
      </c>
      <c r="HAB68" s="59" t="s">
        <v>78</v>
      </c>
      <c r="HAC68" s="59" t="s">
        <v>79</v>
      </c>
      <c r="HAD68" s="59" t="s">
        <v>80</v>
      </c>
      <c r="HAE68" s="59" t="s">
        <v>81</v>
      </c>
      <c r="HAF68" s="59" t="s">
        <v>64</v>
      </c>
      <c r="HAG68" s="59" t="s">
        <v>98</v>
      </c>
      <c r="HAH68" s="59" t="s">
        <v>124</v>
      </c>
      <c r="HAI68" s="59" t="s">
        <v>101</v>
      </c>
      <c r="HAJ68" s="56"/>
      <c r="HAK68" s="57"/>
      <c r="HAL68" s="57"/>
      <c r="HAM68" s="57"/>
      <c r="HAN68" s="57"/>
      <c r="HAO68" s="57"/>
      <c r="HAP68" s="57"/>
      <c r="HAQ68" s="59" t="s">
        <v>77</v>
      </c>
      <c r="HAR68" s="59" t="s">
        <v>78</v>
      </c>
      <c r="HAS68" s="59" t="s">
        <v>79</v>
      </c>
      <c r="HAT68" s="59" t="s">
        <v>80</v>
      </c>
      <c r="HAU68" s="59" t="s">
        <v>81</v>
      </c>
      <c r="HAV68" s="59" t="s">
        <v>64</v>
      </c>
      <c r="HAW68" s="59" t="s">
        <v>98</v>
      </c>
      <c r="HAX68" s="59" t="s">
        <v>124</v>
      </c>
      <c r="HAY68" s="59" t="s">
        <v>101</v>
      </c>
      <c r="HAZ68" s="56"/>
      <c r="HBA68" s="57"/>
      <c r="HBB68" s="57"/>
      <c r="HBC68" s="57"/>
      <c r="HBD68" s="57"/>
      <c r="HBE68" s="57"/>
      <c r="HBF68" s="57"/>
      <c r="HBG68" s="59" t="s">
        <v>77</v>
      </c>
      <c r="HBH68" s="59" t="s">
        <v>78</v>
      </c>
      <c r="HBI68" s="59" t="s">
        <v>79</v>
      </c>
      <c r="HBJ68" s="59" t="s">
        <v>80</v>
      </c>
      <c r="HBK68" s="59" t="s">
        <v>81</v>
      </c>
      <c r="HBL68" s="59" t="s">
        <v>64</v>
      </c>
      <c r="HBM68" s="59" t="s">
        <v>98</v>
      </c>
      <c r="HBN68" s="59" t="s">
        <v>124</v>
      </c>
      <c r="HBO68" s="59" t="s">
        <v>101</v>
      </c>
      <c r="HBP68" s="56"/>
      <c r="HBQ68" s="57"/>
      <c r="HBR68" s="57"/>
      <c r="HBS68" s="57"/>
      <c r="HBT68" s="57"/>
      <c r="HBU68" s="57"/>
      <c r="HBV68" s="57"/>
      <c r="HBW68" s="59" t="s">
        <v>77</v>
      </c>
      <c r="HBX68" s="59" t="s">
        <v>78</v>
      </c>
      <c r="HBY68" s="59" t="s">
        <v>79</v>
      </c>
      <c r="HBZ68" s="59" t="s">
        <v>80</v>
      </c>
      <c r="HCA68" s="59" t="s">
        <v>81</v>
      </c>
      <c r="HCB68" s="59" t="s">
        <v>64</v>
      </c>
      <c r="HCC68" s="59" t="s">
        <v>98</v>
      </c>
      <c r="HCD68" s="59" t="s">
        <v>124</v>
      </c>
      <c r="HCE68" s="59" t="s">
        <v>101</v>
      </c>
      <c r="HCF68" s="56"/>
      <c r="HCG68" s="57"/>
      <c r="HCH68" s="57"/>
      <c r="HCI68" s="57"/>
      <c r="HCJ68" s="57"/>
      <c r="HCK68" s="57"/>
      <c r="HCL68" s="57"/>
      <c r="HCM68" s="59" t="s">
        <v>77</v>
      </c>
      <c r="HCN68" s="59" t="s">
        <v>78</v>
      </c>
      <c r="HCO68" s="59" t="s">
        <v>79</v>
      </c>
      <c r="HCP68" s="59" t="s">
        <v>80</v>
      </c>
      <c r="HCQ68" s="59" t="s">
        <v>81</v>
      </c>
      <c r="HCR68" s="59" t="s">
        <v>64</v>
      </c>
      <c r="HCS68" s="59" t="s">
        <v>98</v>
      </c>
      <c r="HCT68" s="59" t="s">
        <v>124</v>
      </c>
      <c r="HCU68" s="59" t="s">
        <v>101</v>
      </c>
      <c r="HCV68" s="56"/>
      <c r="HCW68" s="57"/>
      <c r="HCX68" s="57"/>
      <c r="HCY68" s="57"/>
      <c r="HCZ68" s="57"/>
      <c r="HDA68" s="57"/>
      <c r="HDB68" s="57"/>
      <c r="HDC68" s="59" t="s">
        <v>77</v>
      </c>
      <c r="HDD68" s="59" t="s">
        <v>78</v>
      </c>
      <c r="HDE68" s="59" t="s">
        <v>79</v>
      </c>
      <c r="HDF68" s="59" t="s">
        <v>80</v>
      </c>
      <c r="HDG68" s="59" t="s">
        <v>81</v>
      </c>
      <c r="HDH68" s="59" t="s">
        <v>64</v>
      </c>
      <c r="HDI68" s="59" t="s">
        <v>98</v>
      </c>
      <c r="HDJ68" s="59" t="s">
        <v>124</v>
      </c>
      <c r="HDK68" s="59" t="s">
        <v>101</v>
      </c>
      <c r="HDL68" s="56"/>
      <c r="HDM68" s="57"/>
      <c r="HDN68" s="57"/>
      <c r="HDO68" s="57"/>
      <c r="HDP68" s="57"/>
      <c r="HDQ68" s="57"/>
      <c r="HDR68" s="57"/>
      <c r="HDS68" s="59" t="s">
        <v>77</v>
      </c>
      <c r="HDT68" s="59" t="s">
        <v>78</v>
      </c>
      <c r="HDU68" s="59" t="s">
        <v>79</v>
      </c>
      <c r="HDV68" s="59" t="s">
        <v>80</v>
      </c>
      <c r="HDW68" s="59" t="s">
        <v>81</v>
      </c>
      <c r="HDX68" s="59" t="s">
        <v>64</v>
      </c>
      <c r="HDY68" s="59" t="s">
        <v>98</v>
      </c>
      <c r="HDZ68" s="59" t="s">
        <v>124</v>
      </c>
      <c r="HEA68" s="59" t="s">
        <v>101</v>
      </c>
      <c r="HEB68" s="56"/>
      <c r="HEC68" s="57"/>
      <c r="HED68" s="57"/>
      <c r="HEE68" s="57"/>
      <c r="HEF68" s="57"/>
      <c r="HEG68" s="57"/>
      <c r="HEH68" s="57"/>
      <c r="HEI68" s="59" t="s">
        <v>77</v>
      </c>
      <c r="HEJ68" s="59" t="s">
        <v>78</v>
      </c>
      <c r="HEK68" s="59" t="s">
        <v>79</v>
      </c>
      <c r="HEL68" s="59" t="s">
        <v>80</v>
      </c>
      <c r="HEM68" s="59" t="s">
        <v>81</v>
      </c>
      <c r="HEN68" s="59" t="s">
        <v>64</v>
      </c>
      <c r="HEO68" s="59" t="s">
        <v>98</v>
      </c>
      <c r="HEP68" s="59" t="s">
        <v>124</v>
      </c>
      <c r="HEQ68" s="59" t="s">
        <v>101</v>
      </c>
      <c r="HER68" s="56"/>
      <c r="HES68" s="57"/>
      <c r="HET68" s="57"/>
      <c r="HEU68" s="57"/>
      <c r="HEV68" s="57"/>
      <c r="HEW68" s="57"/>
      <c r="HEX68" s="57"/>
      <c r="HEY68" s="59" t="s">
        <v>77</v>
      </c>
      <c r="HEZ68" s="59" t="s">
        <v>78</v>
      </c>
      <c r="HFA68" s="59" t="s">
        <v>79</v>
      </c>
      <c r="HFB68" s="59" t="s">
        <v>80</v>
      </c>
      <c r="HFC68" s="59" t="s">
        <v>81</v>
      </c>
      <c r="HFD68" s="59" t="s">
        <v>64</v>
      </c>
      <c r="HFE68" s="59" t="s">
        <v>98</v>
      </c>
      <c r="HFF68" s="59" t="s">
        <v>124</v>
      </c>
      <c r="HFG68" s="59" t="s">
        <v>101</v>
      </c>
      <c r="HFH68" s="56"/>
      <c r="HFI68" s="57"/>
      <c r="HFJ68" s="57"/>
      <c r="HFK68" s="57"/>
      <c r="HFL68" s="57"/>
      <c r="HFM68" s="57"/>
      <c r="HFN68" s="57"/>
      <c r="HFO68" s="59" t="s">
        <v>77</v>
      </c>
      <c r="HFP68" s="59" t="s">
        <v>78</v>
      </c>
      <c r="HFQ68" s="59" t="s">
        <v>79</v>
      </c>
      <c r="HFR68" s="59" t="s">
        <v>80</v>
      </c>
      <c r="HFS68" s="59" t="s">
        <v>81</v>
      </c>
      <c r="HFT68" s="59" t="s">
        <v>64</v>
      </c>
      <c r="HFU68" s="59" t="s">
        <v>98</v>
      </c>
      <c r="HFV68" s="59" t="s">
        <v>124</v>
      </c>
      <c r="HFW68" s="59" t="s">
        <v>101</v>
      </c>
      <c r="HFX68" s="56"/>
      <c r="HFY68" s="57"/>
      <c r="HFZ68" s="57"/>
      <c r="HGA68" s="57"/>
      <c r="HGB68" s="57"/>
      <c r="HGC68" s="57"/>
      <c r="HGD68" s="57"/>
      <c r="HGE68" s="59" t="s">
        <v>77</v>
      </c>
      <c r="HGF68" s="59" t="s">
        <v>78</v>
      </c>
      <c r="HGG68" s="59" t="s">
        <v>79</v>
      </c>
      <c r="HGH68" s="59" t="s">
        <v>80</v>
      </c>
      <c r="HGI68" s="59" t="s">
        <v>81</v>
      </c>
      <c r="HGJ68" s="59" t="s">
        <v>64</v>
      </c>
      <c r="HGK68" s="59" t="s">
        <v>98</v>
      </c>
      <c r="HGL68" s="59" t="s">
        <v>124</v>
      </c>
      <c r="HGM68" s="59" t="s">
        <v>101</v>
      </c>
      <c r="HGN68" s="56"/>
      <c r="HGO68" s="57"/>
      <c r="HGP68" s="57"/>
      <c r="HGQ68" s="57"/>
      <c r="HGR68" s="57"/>
      <c r="HGS68" s="57"/>
      <c r="HGT68" s="57"/>
      <c r="HGU68" s="59" t="s">
        <v>77</v>
      </c>
      <c r="HGV68" s="59" t="s">
        <v>78</v>
      </c>
      <c r="HGW68" s="59" t="s">
        <v>79</v>
      </c>
      <c r="HGX68" s="59" t="s">
        <v>80</v>
      </c>
      <c r="HGY68" s="59" t="s">
        <v>81</v>
      </c>
      <c r="HGZ68" s="59" t="s">
        <v>64</v>
      </c>
      <c r="HHA68" s="59" t="s">
        <v>98</v>
      </c>
      <c r="HHB68" s="59" t="s">
        <v>124</v>
      </c>
      <c r="HHC68" s="59" t="s">
        <v>101</v>
      </c>
      <c r="HHD68" s="56"/>
      <c r="HHE68" s="57"/>
      <c r="HHF68" s="57"/>
      <c r="HHG68" s="57"/>
      <c r="HHH68" s="57"/>
      <c r="HHI68" s="57"/>
      <c r="HHJ68" s="57"/>
      <c r="HHK68" s="59" t="s">
        <v>77</v>
      </c>
      <c r="HHL68" s="59" t="s">
        <v>78</v>
      </c>
      <c r="HHM68" s="59" t="s">
        <v>79</v>
      </c>
      <c r="HHN68" s="59" t="s">
        <v>80</v>
      </c>
      <c r="HHO68" s="59" t="s">
        <v>81</v>
      </c>
      <c r="HHP68" s="59" t="s">
        <v>64</v>
      </c>
      <c r="HHQ68" s="59" t="s">
        <v>98</v>
      </c>
      <c r="HHR68" s="59" t="s">
        <v>124</v>
      </c>
      <c r="HHS68" s="59" t="s">
        <v>101</v>
      </c>
      <c r="HHT68" s="56"/>
      <c r="HHU68" s="57"/>
      <c r="HHV68" s="57"/>
      <c r="HHW68" s="57"/>
      <c r="HHX68" s="57"/>
      <c r="HHY68" s="57"/>
      <c r="HHZ68" s="57"/>
      <c r="HIA68" s="59" t="s">
        <v>77</v>
      </c>
      <c r="HIB68" s="59" t="s">
        <v>78</v>
      </c>
      <c r="HIC68" s="59" t="s">
        <v>79</v>
      </c>
      <c r="HID68" s="59" t="s">
        <v>80</v>
      </c>
      <c r="HIE68" s="59" t="s">
        <v>81</v>
      </c>
      <c r="HIF68" s="59" t="s">
        <v>64</v>
      </c>
      <c r="HIG68" s="59" t="s">
        <v>98</v>
      </c>
      <c r="HIH68" s="59" t="s">
        <v>124</v>
      </c>
      <c r="HII68" s="59" t="s">
        <v>101</v>
      </c>
      <c r="HIJ68" s="56"/>
      <c r="HIK68" s="57"/>
      <c r="HIL68" s="57"/>
      <c r="HIM68" s="57"/>
      <c r="HIN68" s="57"/>
      <c r="HIO68" s="57"/>
      <c r="HIP68" s="57"/>
      <c r="HIQ68" s="59" t="s">
        <v>77</v>
      </c>
      <c r="HIR68" s="59" t="s">
        <v>78</v>
      </c>
      <c r="HIS68" s="59" t="s">
        <v>79</v>
      </c>
      <c r="HIT68" s="59" t="s">
        <v>80</v>
      </c>
      <c r="HIU68" s="59" t="s">
        <v>81</v>
      </c>
      <c r="HIV68" s="59" t="s">
        <v>64</v>
      </c>
      <c r="HIW68" s="59" t="s">
        <v>98</v>
      </c>
      <c r="HIX68" s="59" t="s">
        <v>124</v>
      </c>
      <c r="HIY68" s="59" t="s">
        <v>101</v>
      </c>
      <c r="HIZ68" s="56"/>
      <c r="HJA68" s="57"/>
      <c r="HJB68" s="57"/>
      <c r="HJC68" s="57"/>
      <c r="HJD68" s="57"/>
      <c r="HJE68" s="57"/>
      <c r="HJF68" s="57"/>
      <c r="HJG68" s="59" t="s">
        <v>77</v>
      </c>
      <c r="HJH68" s="59" t="s">
        <v>78</v>
      </c>
      <c r="HJI68" s="59" t="s">
        <v>79</v>
      </c>
      <c r="HJJ68" s="59" t="s">
        <v>80</v>
      </c>
      <c r="HJK68" s="59" t="s">
        <v>81</v>
      </c>
      <c r="HJL68" s="59" t="s">
        <v>64</v>
      </c>
      <c r="HJM68" s="59" t="s">
        <v>98</v>
      </c>
      <c r="HJN68" s="59" t="s">
        <v>124</v>
      </c>
      <c r="HJO68" s="59" t="s">
        <v>101</v>
      </c>
      <c r="HJP68" s="56"/>
      <c r="HJQ68" s="57"/>
      <c r="HJR68" s="57"/>
      <c r="HJS68" s="57"/>
      <c r="HJT68" s="57"/>
      <c r="HJU68" s="57"/>
      <c r="HJV68" s="57"/>
      <c r="HJW68" s="59" t="s">
        <v>77</v>
      </c>
      <c r="HJX68" s="59" t="s">
        <v>78</v>
      </c>
      <c r="HJY68" s="59" t="s">
        <v>79</v>
      </c>
      <c r="HJZ68" s="59" t="s">
        <v>80</v>
      </c>
      <c r="HKA68" s="59" t="s">
        <v>81</v>
      </c>
      <c r="HKB68" s="59" t="s">
        <v>64</v>
      </c>
      <c r="HKC68" s="59" t="s">
        <v>98</v>
      </c>
      <c r="HKD68" s="59" t="s">
        <v>124</v>
      </c>
      <c r="HKE68" s="59" t="s">
        <v>101</v>
      </c>
      <c r="HKF68" s="56"/>
      <c r="HKG68" s="57"/>
      <c r="HKH68" s="57"/>
      <c r="HKI68" s="57"/>
      <c r="HKJ68" s="57"/>
      <c r="HKK68" s="57"/>
      <c r="HKL68" s="57"/>
      <c r="HKM68" s="59" t="s">
        <v>77</v>
      </c>
      <c r="HKN68" s="59" t="s">
        <v>78</v>
      </c>
      <c r="HKO68" s="59" t="s">
        <v>79</v>
      </c>
      <c r="HKP68" s="59" t="s">
        <v>80</v>
      </c>
      <c r="HKQ68" s="59" t="s">
        <v>81</v>
      </c>
      <c r="HKR68" s="59" t="s">
        <v>64</v>
      </c>
      <c r="HKS68" s="59" t="s">
        <v>98</v>
      </c>
      <c r="HKT68" s="59" t="s">
        <v>124</v>
      </c>
      <c r="HKU68" s="59" t="s">
        <v>101</v>
      </c>
      <c r="HKV68" s="56"/>
      <c r="HKW68" s="57"/>
      <c r="HKX68" s="57"/>
      <c r="HKY68" s="57"/>
      <c r="HKZ68" s="57"/>
      <c r="HLA68" s="57"/>
      <c r="HLB68" s="57"/>
      <c r="HLC68" s="59" t="s">
        <v>77</v>
      </c>
      <c r="HLD68" s="59" t="s">
        <v>78</v>
      </c>
      <c r="HLE68" s="59" t="s">
        <v>79</v>
      </c>
      <c r="HLF68" s="59" t="s">
        <v>80</v>
      </c>
      <c r="HLG68" s="59" t="s">
        <v>81</v>
      </c>
      <c r="HLH68" s="59" t="s">
        <v>64</v>
      </c>
      <c r="HLI68" s="59" t="s">
        <v>98</v>
      </c>
      <c r="HLJ68" s="59" t="s">
        <v>124</v>
      </c>
      <c r="HLK68" s="59" t="s">
        <v>101</v>
      </c>
      <c r="HLL68" s="56"/>
      <c r="HLM68" s="57"/>
      <c r="HLN68" s="57"/>
      <c r="HLO68" s="57"/>
      <c r="HLP68" s="57"/>
      <c r="HLQ68" s="57"/>
      <c r="HLR68" s="57"/>
      <c r="HLS68" s="59" t="s">
        <v>77</v>
      </c>
      <c r="HLT68" s="59" t="s">
        <v>78</v>
      </c>
      <c r="HLU68" s="59" t="s">
        <v>79</v>
      </c>
      <c r="HLV68" s="59" t="s">
        <v>80</v>
      </c>
      <c r="HLW68" s="59" t="s">
        <v>81</v>
      </c>
      <c r="HLX68" s="59" t="s">
        <v>64</v>
      </c>
      <c r="HLY68" s="59" t="s">
        <v>98</v>
      </c>
      <c r="HLZ68" s="59" t="s">
        <v>124</v>
      </c>
      <c r="HMA68" s="59" t="s">
        <v>101</v>
      </c>
      <c r="HMB68" s="56"/>
      <c r="HMC68" s="57"/>
      <c r="HMD68" s="57"/>
      <c r="HME68" s="57"/>
      <c r="HMF68" s="57"/>
      <c r="HMG68" s="57"/>
      <c r="HMH68" s="57"/>
      <c r="HMI68" s="59" t="s">
        <v>77</v>
      </c>
      <c r="HMJ68" s="59" t="s">
        <v>78</v>
      </c>
      <c r="HMK68" s="59" t="s">
        <v>79</v>
      </c>
      <c r="HML68" s="59" t="s">
        <v>80</v>
      </c>
      <c r="HMM68" s="59" t="s">
        <v>81</v>
      </c>
      <c r="HMN68" s="59" t="s">
        <v>64</v>
      </c>
      <c r="HMO68" s="59" t="s">
        <v>98</v>
      </c>
      <c r="HMP68" s="59" t="s">
        <v>124</v>
      </c>
      <c r="HMQ68" s="59" t="s">
        <v>101</v>
      </c>
      <c r="HMR68" s="56"/>
      <c r="HMS68" s="57"/>
      <c r="HMT68" s="57"/>
      <c r="HMU68" s="57"/>
      <c r="HMV68" s="57"/>
      <c r="HMW68" s="57"/>
      <c r="HMX68" s="57"/>
      <c r="HMY68" s="59" t="s">
        <v>77</v>
      </c>
      <c r="HMZ68" s="59" t="s">
        <v>78</v>
      </c>
      <c r="HNA68" s="59" t="s">
        <v>79</v>
      </c>
      <c r="HNB68" s="59" t="s">
        <v>80</v>
      </c>
      <c r="HNC68" s="59" t="s">
        <v>81</v>
      </c>
      <c r="HND68" s="59" t="s">
        <v>64</v>
      </c>
      <c r="HNE68" s="59" t="s">
        <v>98</v>
      </c>
      <c r="HNF68" s="59" t="s">
        <v>124</v>
      </c>
      <c r="HNG68" s="59" t="s">
        <v>101</v>
      </c>
      <c r="HNH68" s="56"/>
      <c r="HNI68" s="57"/>
      <c r="HNJ68" s="57"/>
      <c r="HNK68" s="57"/>
      <c r="HNL68" s="57"/>
      <c r="HNM68" s="57"/>
      <c r="HNN68" s="57"/>
      <c r="HNO68" s="59" t="s">
        <v>77</v>
      </c>
      <c r="HNP68" s="59" t="s">
        <v>78</v>
      </c>
      <c r="HNQ68" s="59" t="s">
        <v>79</v>
      </c>
      <c r="HNR68" s="59" t="s">
        <v>80</v>
      </c>
      <c r="HNS68" s="59" t="s">
        <v>81</v>
      </c>
      <c r="HNT68" s="59" t="s">
        <v>64</v>
      </c>
      <c r="HNU68" s="59" t="s">
        <v>98</v>
      </c>
      <c r="HNV68" s="59" t="s">
        <v>124</v>
      </c>
      <c r="HNW68" s="59" t="s">
        <v>101</v>
      </c>
      <c r="HNX68" s="56"/>
      <c r="HNY68" s="57"/>
      <c r="HNZ68" s="57"/>
      <c r="HOA68" s="57"/>
      <c r="HOB68" s="57"/>
      <c r="HOC68" s="57"/>
      <c r="HOD68" s="57"/>
      <c r="HOE68" s="59" t="s">
        <v>77</v>
      </c>
      <c r="HOF68" s="59" t="s">
        <v>78</v>
      </c>
      <c r="HOG68" s="59" t="s">
        <v>79</v>
      </c>
      <c r="HOH68" s="59" t="s">
        <v>80</v>
      </c>
      <c r="HOI68" s="59" t="s">
        <v>81</v>
      </c>
      <c r="HOJ68" s="59" t="s">
        <v>64</v>
      </c>
      <c r="HOK68" s="59" t="s">
        <v>98</v>
      </c>
      <c r="HOL68" s="59" t="s">
        <v>124</v>
      </c>
      <c r="HOM68" s="59" t="s">
        <v>101</v>
      </c>
      <c r="HON68" s="56"/>
      <c r="HOO68" s="57"/>
      <c r="HOP68" s="57"/>
      <c r="HOQ68" s="57"/>
      <c r="HOR68" s="57"/>
      <c r="HOS68" s="57"/>
      <c r="HOT68" s="57"/>
      <c r="HOU68" s="59" t="s">
        <v>77</v>
      </c>
      <c r="HOV68" s="59" t="s">
        <v>78</v>
      </c>
      <c r="HOW68" s="59" t="s">
        <v>79</v>
      </c>
      <c r="HOX68" s="59" t="s">
        <v>80</v>
      </c>
      <c r="HOY68" s="59" t="s">
        <v>81</v>
      </c>
      <c r="HOZ68" s="59" t="s">
        <v>64</v>
      </c>
      <c r="HPA68" s="59" t="s">
        <v>98</v>
      </c>
      <c r="HPB68" s="59" t="s">
        <v>124</v>
      </c>
      <c r="HPC68" s="59" t="s">
        <v>101</v>
      </c>
      <c r="HPD68" s="56"/>
      <c r="HPE68" s="57"/>
      <c r="HPF68" s="57"/>
      <c r="HPG68" s="57"/>
      <c r="HPH68" s="57"/>
      <c r="HPI68" s="57"/>
      <c r="HPJ68" s="57"/>
      <c r="HPK68" s="59" t="s">
        <v>77</v>
      </c>
      <c r="HPL68" s="59" t="s">
        <v>78</v>
      </c>
      <c r="HPM68" s="59" t="s">
        <v>79</v>
      </c>
      <c r="HPN68" s="59" t="s">
        <v>80</v>
      </c>
      <c r="HPO68" s="59" t="s">
        <v>81</v>
      </c>
      <c r="HPP68" s="59" t="s">
        <v>64</v>
      </c>
      <c r="HPQ68" s="59" t="s">
        <v>98</v>
      </c>
      <c r="HPR68" s="59" t="s">
        <v>124</v>
      </c>
      <c r="HPS68" s="59" t="s">
        <v>101</v>
      </c>
      <c r="HPT68" s="56"/>
      <c r="HPU68" s="57"/>
      <c r="HPV68" s="57"/>
      <c r="HPW68" s="57"/>
      <c r="HPX68" s="57"/>
      <c r="HPY68" s="57"/>
      <c r="HPZ68" s="57"/>
      <c r="HQA68" s="59" t="s">
        <v>77</v>
      </c>
      <c r="HQB68" s="59" t="s">
        <v>78</v>
      </c>
      <c r="HQC68" s="59" t="s">
        <v>79</v>
      </c>
      <c r="HQD68" s="59" t="s">
        <v>80</v>
      </c>
      <c r="HQE68" s="59" t="s">
        <v>81</v>
      </c>
      <c r="HQF68" s="59" t="s">
        <v>64</v>
      </c>
      <c r="HQG68" s="59" t="s">
        <v>98</v>
      </c>
      <c r="HQH68" s="59" t="s">
        <v>124</v>
      </c>
      <c r="HQI68" s="59" t="s">
        <v>101</v>
      </c>
      <c r="HQJ68" s="56"/>
      <c r="HQK68" s="57"/>
      <c r="HQL68" s="57"/>
      <c r="HQM68" s="57"/>
      <c r="HQN68" s="57"/>
      <c r="HQO68" s="57"/>
      <c r="HQP68" s="57"/>
      <c r="HQQ68" s="59" t="s">
        <v>77</v>
      </c>
      <c r="HQR68" s="59" t="s">
        <v>78</v>
      </c>
      <c r="HQS68" s="59" t="s">
        <v>79</v>
      </c>
      <c r="HQT68" s="59" t="s">
        <v>80</v>
      </c>
      <c r="HQU68" s="59" t="s">
        <v>81</v>
      </c>
      <c r="HQV68" s="59" t="s">
        <v>64</v>
      </c>
      <c r="HQW68" s="59" t="s">
        <v>98</v>
      </c>
      <c r="HQX68" s="59" t="s">
        <v>124</v>
      </c>
      <c r="HQY68" s="59" t="s">
        <v>101</v>
      </c>
      <c r="HQZ68" s="56"/>
      <c r="HRA68" s="57"/>
      <c r="HRB68" s="57"/>
      <c r="HRC68" s="57"/>
      <c r="HRD68" s="57"/>
      <c r="HRE68" s="57"/>
      <c r="HRF68" s="57"/>
      <c r="HRG68" s="59" t="s">
        <v>77</v>
      </c>
      <c r="HRH68" s="59" t="s">
        <v>78</v>
      </c>
      <c r="HRI68" s="59" t="s">
        <v>79</v>
      </c>
      <c r="HRJ68" s="59" t="s">
        <v>80</v>
      </c>
      <c r="HRK68" s="59" t="s">
        <v>81</v>
      </c>
      <c r="HRL68" s="59" t="s">
        <v>64</v>
      </c>
      <c r="HRM68" s="59" t="s">
        <v>98</v>
      </c>
      <c r="HRN68" s="59" t="s">
        <v>124</v>
      </c>
      <c r="HRO68" s="59" t="s">
        <v>101</v>
      </c>
      <c r="HRP68" s="56"/>
      <c r="HRQ68" s="57"/>
      <c r="HRR68" s="57"/>
      <c r="HRS68" s="57"/>
      <c r="HRT68" s="57"/>
      <c r="HRU68" s="57"/>
      <c r="HRV68" s="57"/>
      <c r="HRW68" s="59" t="s">
        <v>77</v>
      </c>
      <c r="HRX68" s="59" t="s">
        <v>78</v>
      </c>
      <c r="HRY68" s="59" t="s">
        <v>79</v>
      </c>
      <c r="HRZ68" s="59" t="s">
        <v>80</v>
      </c>
      <c r="HSA68" s="59" t="s">
        <v>81</v>
      </c>
      <c r="HSB68" s="59" t="s">
        <v>64</v>
      </c>
      <c r="HSC68" s="59" t="s">
        <v>98</v>
      </c>
      <c r="HSD68" s="59" t="s">
        <v>124</v>
      </c>
      <c r="HSE68" s="59" t="s">
        <v>101</v>
      </c>
      <c r="HSF68" s="56"/>
      <c r="HSG68" s="57"/>
      <c r="HSH68" s="57"/>
      <c r="HSI68" s="57"/>
      <c r="HSJ68" s="57"/>
      <c r="HSK68" s="57"/>
      <c r="HSL68" s="57"/>
      <c r="HSM68" s="59" t="s">
        <v>77</v>
      </c>
      <c r="HSN68" s="59" t="s">
        <v>78</v>
      </c>
      <c r="HSO68" s="59" t="s">
        <v>79</v>
      </c>
      <c r="HSP68" s="59" t="s">
        <v>80</v>
      </c>
      <c r="HSQ68" s="59" t="s">
        <v>81</v>
      </c>
      <c r="HSR68" s="59" t="s">
        <v>64</v>
      </c>
      <c r="HSS68" s="59" t="s">
        <v>98</v>
      </c>
      <c r="HST68" s="59" t="s">
        <v>124</v>
      </c>
      <c r="HSU68" s="59" t="s">
        <v>101</v>
      </c>
      <c r="HSV68" s="56"/>
      <c r="HSW68" s="57"/>
      <c r="HSX68" s="57"/>
      <c r="HSY68" s="57"/>
      <c r="HSZ68" s="57"/>
      <c r="HTA68" s="57"/>
      <c r="HTB68" s="57"/>
      <c r="HTC68" s="59" t="s">
        <v>77</v>
      </c>
      <c r="HTD68" s="59" t="s">
        <v>78</v>
      </c>
      <c r="HTE68" s="59" t="s">
        <v>79</v>
      </c>
      <c r="HTF68" s="59" t="s">
        <v>80</v>
      </c>
      <c r="HTG68" s="59" t="s">
        <v>81</v>
      </c>
      <c r="HTH68" s="59" t="s">
        <v>64</v>
      </c>
      <c r="HTI68" s="59" t="s">
        <v>98</v>
      </c>
      <c r="HTJ68" s="59" t="s">
        <v>124</v>
      </c>
      <c r="HTK68" s="59" t="s">
        <v>101</v>
      </c>
      <c r="HTL68" s="56"/>
      <c r="HTM68" s="57"/>
      <c r="HTN68" s="57"/>
      <c r="HTO68" s="57"/>
      <c r="HTP68" s="57"/>
      <c r="HTQ68" s="57"/>
      <c r="HTR68" s="57"/>
      <c r="HTS68" s="59" t="s">
        <v>77</v>
      </c>
      <c r="HTT68" s="59" t="s">
        <v>78</v>
      </c>
      <c r="HTU68" s="59" t="s">
        <v>79</v>
      </c>
      <c r="HTV68" s="59" t="s">
        <v>80</v>
      </c>
      <c r="HTW68" s="59" t="s">
        <v>81</v>
      </c>
      <c r="HTX68" s="59" t="s">
        <v>64</v>
      </c>
      <c r="HTY68" s="59" t="s">
        <v>98</v>
      </c>
      <c r="HTZ68" s="59" t="s">
        <v>124</v>
      </c>
      <c r="HUA68" s="59" t="s">
        <v>101</v>
      </c>
      <c r="HUB68" s="56"/>
      <c r="HUC68" s="57"/>
      <c r="HUD68" s="57"/>
      <c r="HUE68" s="57"/>
      <c r="HUF68" s="57"/>
      <c r="HUG68" s="57"/>
      <c r="HUH68" s="57"/>
      <c r="HUI68" s="59" t="s">
        <v>77</v>
      </c>
      <c r="HUJ68" s="59" t="s">
        <v>78</v>
      </c>
      <c r="HUK68" s="59" t="s">
        <v>79</v>
      </c>
      <c r="HUL68" s="59" t="s">
        <v>80</v>
      </c>
      <c r="HUM68" s="59" t="s">
        <v>81</v>
      </c>
      <c r="HUN68" s="59" t="s">
        <v>64</v>
      </c>
      <c r="HUO68" s="59" t="s">
        <v>98</v>
      </c>
      <c r="HUP68" s="59" t="s">
        <v>124</v>
      </c>
      <c r="HUQ68" s="59" t="s">
        <v>101</v>
      </c>
      <c r="HUR68" s="56"/>
      <c r="HUS68" s="57"/>
      <c r="HUT68" s="57"/>
      <c r="HUU68" s="57"/>
      <c r="HUV68" s="57"/>
      <c r="HUW68" s="57"/>
      <c r="HUX68" s="57"/>
      <c r="HUY68" s="59" t="s">
        <v>77</v>
      </c>
      <c r="HUZ68" s="59" t="s">
        <v>78</v>
      </c>
      <c r="HVA68" s="59" t="s">
        <v>79</v>
      </c>
      <c r="HVB68" s="59" t="s">
        <v>80</v>
      </c>
      <c r="HVC68" s="59" t="s">
        <v>81</v>
      </c>
      <c r="HVD68" s="59" t="s">
        <v>64</v>
      </c>
      <c r="HVE68" s="59" t="s">
        <v>98</v>
      </c>
      <c r="HVF68" s="59" t="s">
        <v>124</v>
      </c>
      <c r="HVG68" s="59" t="s">
        <v>101</v>
      </c>
      <c r="HVH68" s="56"/>
      <c r="HVI68" s="57"/>
      <c r="HVJ68" s="57"/>
      <c r="HVK68" s="57"/>
      <c r="HVL68" s="57"/>
      <c r="HVM68" s="57"/>
      <c r="HVN68" s="57"/>
      <c r="HVO68" s="59" t="s">
        <v>77</v>
      </c>
      <c r="HVP68" s="59" t="s">
        <v>78</v>
      </c>
      <c r="HVQ68" s="59" t="s">
        <v>79</v>
      </c>
      <c r="HVR68" s="59" t="s">
        <v>80</v>
      </c>
      <c r="HVS68" s="59" t="s">
        <v>81</v>
      </c>
      <c r="HVT68" s="59" t="s">
        <v>64</v>
      </c>
      <c r="HVU68" s="59" t="s">
        <v>98</v>
      </c>
      <c r="HVV68" s="59" t="s">
        <v>124</v>
      </c>
      <c r="HVW68" s="59" t="s">
        <v>101</v>
      </c>
      <c r="HVX68" s="56"/>
      <c r="HVY68" s="57"/>
      <c r="HVZ68" s="57"/>
      <c r="HWA68" s="57"/>
      <c r="HWB68" s="57"/>
      <c r="HWC68" s="57"/>
      <c r="HWD68" s="57"/>
      <c r="HWE68" s="59" t="s">
        <v>77</v>
      </c>
      <c r="HWF68" s="59" t="s">
        <v>78</v>
      </c>
      <c r="HWG68" s="59" t="s">
        <v>79</v>
      </c>
      <c r="HWH68" s="59" t="s">
        <v>80</v>
      </c>
      <c r="HWI68" s="59" t="s">
        <v>81</v>
      </c>
      <c r="HWJ68" s="59" t="s">
        <v>64</v>
      </c>
      <c r="HWK68" s="59" t="s">
        <v>98</v>
      </c>
      <c r="HWL68" s="59" t="s">
        <v>124</v>
      </c>
      <c r="HWM68" s="59" t="s">
        <v>101</v>
      </c>
      <c r="HWN68" s="56"/>
      <c r="HWO68" s="57"/>
      <c r="HWP68" s="57"/>
      <c r="HWQ68" s="57"/>
      <c r="HWR68" s="57"/>
      <c r="HWS68" s="57"/>
      <c r="HWT68" s="57"/>
      <c r="HWU68" s="59" t="s">
        <v>77</v>
      </c>
      <c r="HWV68" s="59" t="s">
        <v>78</v>
      </c>
      <c r="HWW68" s="59" t="s">
        <v>79</v>
      </c>
      <c r="HWX68" s="59" t="s">
        <v>80</v>
      </c>
      <c r="HWY68" s="59" t="s">
        <v>81</v>
      </c>
      <c r="HWZ68" s="59" t="s">
        <v>64</v>
      </c>
      <c r="HXA68" s="59" t="s">
        <v>98</v>
      </c>
      <c r="HXB68" s="59" t="s">
        <v>124</v>
      </c>
      <c r="HXC68" s="59" t="s">
        <v>101</v>
      </c>
      <c r="HXD68" s="56"/>
      <c r="HXE68" s="57"/>
      <c r="HXF68" s="57"/>
      <c r="HXG68" s="57"/>
      <c r="HXH68" s="57"/>
      <c r="HXI68" s="57"/>
      <c r="HXJ68" s="57"/>
      <c r="HXK68" s="59" t="s">
        <v>77</v>
      </c>
      <c r="HXL68" s="59" t="s">
        <v>78</v>
      </c>
      <c r="HXM68" s="59" t="s">
        <v>79</v>
      </c>
      <c r="HXN68" s="59" t="s">
        <v>80</v>
      </c>
      <c r="HXO68" s="59" t="s">
        <v>81</v>
      </c>
      <c r="HXP68" s="59" t="s">
        <v>64</v>
      </c>
      <c r="HXQ68" s="59" t="s">
        <v>98</v>
      </c>
      <c r="HXR68" s="59" t="s">
        <v>124</v>
      </c>
      <c r="HXS68" s="59" t="s">
        <v>101</v>
      </c>
      <c r="HXT68" s="56"/>
      <c r="HXU68" s="57"/>
      <c r="HXV68" s="57"/>
      <c r="HXW68" s="57"/>
      <c r="HXX68" s="57"/>
      <c r="HXY68" s="57"/>
      <c r="HXZ68" s="57"/>
      <c r="HYA68" s="59" t="s">
        <v>77</v>
      </c>
      <c r="HYB68" s="59" t="s">
        <v>78</v>
      </c>
      <c r="HYC68" s="59" t="s">
        <v>79</v>
      </c>
      <c r="HYD68" s="59" t="s">
        <v>80</v>
      </c>
      <c r="HYE68" s="59" t="s">
        <v>81</v>
      </c>
      <c r="HYF68" s="59" t="s">
        <v>64</v>
      </c>
      <c r="HYG68" s="59" t="s">
        <v>98</v>
      </c>
      <c r="HYH68" s="59" t="s">
        <v>124</v>
      </c>
      <c r="HYI68" s="59" t="s">
        <v>101</v>
      </c>
      <c r="HYJ68" s="56"/>
      <c r="HYK68" s="57"/>
      <c r="HYL68" s="57"/>
      <c r="HYM68" s="57"/>
      <c r="HYN68" s="57"/>
      <c r="HYO68" s="57"/>
      <c r="HYP68" s="57"/>
      <c r="HYQ68" s="59" t="s">
        <v>77</v>
      </c>
      <c r="HYR68" s="59" t="s">
        <v>78</v>
      </c>
      <c r="HYS68" s="59" t="s">
        <v>79</v>
      </c>
      <c r="HYT68" s="59" t="s">
        <v>80</v>
      </c>
      <c r="HYU68" s="59" t="s">
        <v>81</v>
      </c>
      <c r="HYV68" s="59" t="s">
        <v>64</v>
      </c>
      <c r="HYW68" s="59" t="s">
        <v>98</v>
      </c>
      <c r="HYX68" s="59" t="s">
        <v>124</v>
      </c>
      <c r="HYY68" s="59" t="s">
        <v>101</v>
      </c>
      <c r="HYZ68" s="56"/>
      <c r="HZA68" s="57"/>
      <c r="HZB68" s="57"/>
      <c r="HZC68" s="57"/>
      <c r="HZD68" s="57"/>
      <c r="HZE68" s="57"/>
      <c r="HZF68" s="57"/>
      <c r="HZG68" s="59" t="s">
        <v>77</v>
      </c>
      <c r="HZH68" s="59" t="s">
        <v>78</v>
      </c>
      <c r="HZI68" s="59" t="s">
        <v>79</v>
      </c>
      <c r="HZJ68" s="59" t="s">
        <v>80</v>
      </c>
      <c r="HZK68" s="59" t="s">
        <v>81</v>
      </c>
      <c r="HZL68" s="59" t="s">
        <v>64</v>
      </c>
      <c r="HZM68" s="59" t="s">
        <v>98</v>
      </c>
      <c r="HZN68" s="59" t="s">
        <v>124</v>
      </c>
      <c r="HZO68" s="59" t="s">
        <v>101</v>
      </c>
      <c r="HZP68" s="56"/>
      <c r="HZQ68" s="57"/>
      <c r="HZR68" s="57"/>
      <c r="HZS68" s="57"/>
      <c r="HZT68" s="57"/>
      <c r="HZU68" s="57"/>
      <c r="HZV68" s="57"/>
      <c r="HZW68" s="59" t="s">
        <v>77</v>
      </c>
      <c r="HZX68" s="59" t="s">
        <v>78</v>
      </c>
      <c r="HZY68" s="59" t="s">
        <v>79</v>
      </c>
      <c r="HZZ68" s="59" t="s">
        <v>80</v>
      </c>
      <c r="IAA68" s="59" t="s">
        <v>81</v>
      </c>
      <c r="IAB68" s="59" t="s">
        <v>64</v>
      </c>
      <c r="IAC68" s="59" t="s">
        <v>98</v>
      </c>
      <c r="IAD68" s="59" t="s">
        <v>124</v>
      </c>
      <c r="IAE68" s="59" t="s">
        <v>101</v>
      </c>
      <c r="IAF68" s="56"/>
      <c r="IAG68" s="57"/>
      <c r="IAH68" s="57"/>
      <c r="IAI68" s="57"/>
      <c r="IAJ68" s="57"/>
      <c r="IAK68" s="57"/>
      <c r="IAL68" s="57"/>
      <c r="IAM68" s="59" t="s">
        <v>77</v>
      </c>
      <c r="IAN68" s="59" t="s">
        <v>78</v>
      </c>
      <c r="IAO68" s="59" t="s">
        <v>79</v>
      </c>
      <c r="IAP68" s="59" t="s">
        <v>80</v>
      </c>
      <c r="IAQ68" s="59" t="s">
        <v>81</v>
      </c>
      <c r="IAR68" s="59" t="s">
        <v>64</v>
      </c>
      <c r="IAS68" s="59" t="s">
        <v>98</v>
      </c>
      <c r="IAT68" s="59" t="s">
        <v>124</v>
      </c>
      <c r="IAU68" s="59" t="s">
        <v>101</v>
      </c>
      <c r="IAV68" s="56"/>
      <c r="IAW68" s="57"/>
      <c r="IAX68" s="57"/>
      <c r="IAY68" s="57"/>
      <c r="IAZ68" s="57"/>
      <c r="IBA68" s="57"/>
      <c r="IBB68" s="57"/>
      <c r="IBC68" s="59" t="s">
        <v>77</v>
      </c>
      <c r="IBD68" s="59" t="s">
        <v>78</v>
      </c>
      <c r="IBE68" s="59" t="s">
        <v>79</v>
      </c>
      <c r="IBF68" s="59" t="s">
        <v>80</v>
      </c>
      <c r="IBG68" s="59" t="s">
        <v>81</v>
      </c>
      <c r="IBH68" s="59" t="s">
        <v>64</v>
      </c>
      <c r="IBI68" s="59" t="s">
        <v>98</v>
      </c>
      <c r="IBJ68" s="59" t="s">
        <v>124</v>
      </c>
      <c r="IBK68" s="59" t="s">
        <v>101</v>
      </c>
      <c r="IBL68" s="56"/>
      <c r="IBM68" s="57"/>
      <c r="IBN68" s="57"/>
      <c r="IBO68" s="57"/>
      <c r="IBP68" s="57"/>
      <c r="IBQ68" s="57"/>
      <c r="IBR68" s="57"/>
      <c r="IBS68" s="59" t="s">
        <v>77</v>
      </c>
      <c r="IBT68" s="59" t="s">
        <v>78</v>
      </c>
      <c r="IBU68" s="59" t="s">
        <v>79</v>
      </c>
      <c r="IBV68" s="59" t="s">
        <v>80</v>
      </c>
      <c r="IBW68" s="59" t="s">
        <v>81</v>
      </c>
      <c r="IBX68" s="59" t="s">
        <v>64</v>
      </c>
      <c r="IBY68" s="59" t="s">
        <v>98</v>
      </c>
      <c r="IBZ68" s="59" t="s">
        <v>124</v>
      </c>
      <c r="ICA68" s="59" t="s">
        <v>101</v>
      </c>
      <c r="ICB68" s="56"/>
      <c r="ICC68" s="57"/>
      <c r="ICD68" s="57"/>
      <c r="ICE68" s="57"/>
      <c r="ICF68" s="57"/>
      <c r="ICG68" s="57"/>
      <c r="ICH68" s="57"/>
      <c r="ICI68" s="59" t="s">
        <v>77</v>
      </c>
      <c r="ICJ68" s="59" t="s">
        <v>78</v>
      </c>
      <c r="ICK68" s="59" t="s">
        <v>79</v>
      </c>
      <c r="ICL68" s="59" t="s">
        <v>80</v>
      </c>
      <c r="ICM68" s="59" t="s">
        <v>81</v>
      </c>
      <c r="ICN68" s="59" t="s">
        <v>64</v>
      </c>
      <c r="ICO68" s="59" t="s">
        <v>98</v>
      </c>
      <c r="ICP68" s="59" t="s">
        <v>124</v>
      </c>
      <c r="ICQ68" s="59" t="s">
        <v>101</v>
      </c>
      <c r="ICR68" s="56"/>
      <c r="ICS68" s="57"/>
      <c r="ICT68" s="57"/>
      <c r="ICU68" s="57"/>
      <c r="ICV68" s="57"/>
      <c r="ICW68" s="57"/>
      <c r="ICX68" s="57"/>
      <c r="ICY68" s="59" t="s">
        <v>77</v>
      </c>
      <c r="ICZ68" s="59" t="s">
        <v>78</v>
      </c>
      <c r="IDA68" s="59" t="s">
        <v>79</v>
      </c>
      <c r="IDB68" s="59" t="s">
        <v>80</v>
      </c>
      <c r="IDC68" s="59" t="s">
        <v>81</v>
      </c>
      <c r="IDD68" s="59" t="s">
        <v>64</v>
      </c>
      <c r="IDE68" s="59" t="s">
        <v>98</v>
      </c>
      <c r="IDF68" s="59" t="s">
        <v>124</v>
      </c>
      <c r="IDG68" s="59" t="s">
        <v>101</v>
      </c>
      <c r="IDH68" s="56"/>
      <c r="IDI68" s="57"/>
      <c r="IDJ68" s="57"/>
      <c r="IDK68" s="57"/>
      <c r="IDL68" s="57"/>
      <c r="IDM68" s="57"/>
      <c r="IDN68" s="57"/>
      <c r="IDO68" s="59" t="s">
        <v>77</v>
      </c>
      <c r="IDP68" s="59" t="s">
        <v>78</v>
      </c>
      <c r="IDQ68" s="59" t="s">
        <v>79</v>
      </c>
      <c r="IDR68" s="59" t="s">
        <v>80</v>
      </c>
      <c r="IDS68" s="59" t="s">
        <v>81</v>
      </c>
      <c r="IDT68" s="59" t="s">
        <v>64</v>
      </c>
      <c r="IDU68" s="59" t="s">
        <v>98</v>
      </c>
      <c r="IDV68" s="59" t="s">
        <v>124</v>
      </c>
      <c r="IDW68" s="59" t="s">
        <v>101</v>
      </c>
      <c r="IDX68" s="56"/>
      <c r="IDY68" s="57"/>
      <c r="IDZ68" s="57"/>
      <c r="IEA68" s="57"/>
      <c r="IEB68" s="57"/>
      <c r="IEC68" s="57"/>
      <c r="IED68" s="57"/>
      <c r="IEE68" s="59" t="s">
        <v>77</v>
      </c>
      <c r="IEF68" s="59" t="s">
        <v>78</v>
      </c>
      <c r="IEG68" s="59" t="s">
        <v>79</v>
      </c>
      <c r="IEH68" s="59" t="s">
        <v>80</v>
      </c>
      <c r="IEI68" s="59" t="s">
        <v>81</v>
      </c>
      <c r="IEJ68" s="59" t="s">
        <v>64</v>
      </c>
      <c r="IEK68" s="59" t="s">
        <v>98</v>
      </c>
      <c r="IEL68" s="59" t="s">
        <v>124</v>
      </c>
      <c r="IEM68" s="59" t="s">
        <v>101</v>
      </c>
      <c r="IEN68" s="56"/>
      <c r="IEO68" s="57"/>
      <c r="IEP68" s="57"/>
      <c r="IEQ68" s="57"/>
      <c r="IER68" s="57"/>
      <c r="IES68" s="57"/>
      <c r="IET68" s="57"/>
      <c r="IEU68" s="59" t="s">
        <v>77</v>
      </c>
      <c r="IEV68" s="59" t="s">
        <v>78</v>
      </c>
      <c r="IEW68" s="59" t="s">
        <v>79</v>
      </c>
      <c r="IEX68" s="59" t="s">
        <v>80</v>
      </c>
      <c r="IEY68" s="59" t="s">
        <v>81</v>
      </c>
      <c r="IEZ68" s="59" t="s">
        <v>64</v>
      </c>
      <c r="IFA68" s="59" t="s">
        <v>98</v>
      </c>
      <c r="IFB68" s="59" t="s">
        <v>124</v>
      </c>
      <c r="IFC68" s="59" t="s">
        <v>101</v>
      </c>
      <c r="IFD68" s="56"/>
      <c r="IFE68" s="57"/>
      <c r="IFF68" s="57"/>
      <c r="IFG68" s="57"/>
      <c r="IFH68" s="57"/>
      <c r="IFI68" s="57"/>
      <c r="IFJ68" s="57"/>
      <c r="IFK68" s="59" t="s">
        <v>77</v>
      </c>
      <c r="IFL68" s="59" t="s">
        <v>78</v>
      </c>
      <c r="IFM68" s="59" t="s">
        <v>79</v>
      </c>
      <c r="IFN68" s="59" t="s">
        <v>80</v>
      </c>
      <c r="IFO68" s="59" t="s">
        <v>81</v>
      </c>
      <c r="IFP68" s="59" t="s">
        <v>64</v>
      </c>
      <c r="IFQ68" s="59" t="s">
        <v>98</v>
      </c>
      <c r="IFR68" s="59" t="s">
        <v>124</v>
      </c>
      <c r="IFS68" s="59" t="s">
        <v>101</v>
      </c>
      <c r="IFT68" s="56"/>
      <c r="IFU68" s="57"/>
      <c r="IFV68" s="57"/>
      <c r="IFW68" s="57"/>
      <c r="IFX68" s="57"/>
      <c r="IFY68" s="57"/>
      <c r="IFZ68" s="57"/>
      <c r="IGA68" s="59" t="s">
        <v>77</v>
      </c>
      <c r="IGB68" s="59" t="s">
        <v>78</v>
      </c>
      <c r="IGC68" s="59" t="s">
        <v>79</v>
      </c>
      <c r="IGD68" s="59" t="s">
        <v>80</v>
      </c>
      <c r="IGE68" s="59" t="s">
        <v>81</v>
      </c>
      <c r="IGF68" s="59" t="s">
        <v>64</v>
      </c>
      <c r="IGG68" s="59" t="s">
        <v>98</v>
      </c>
      <c r="IGH68" s="59" t="s">
        <v>124</v>
      </c>
      <c r="IGI68" s="59" t="s">
        <v>101</v>
      </c>
      <c r="IGJ68" s="56"/>
      <c r="IGK68" s="57"/>
      <c r="IGL68" s="57"/>
      <c r="IGM68" s="57"/>
      <c r="IGN68" s="57"/>
      <c r="IGO68" s="57"/>
      <c r="IGP68" s="57"/>
      <c r="IGQ68" s="59" t="s">
        <v>77</v>
      </c>
      <c r="IGR68" s="59" t="s">
        <v>78</v>
      </c>
      <c r="IGS68" s="59" t="s">
        <v>79</v>
      </c>
      <c r="IGT68" s="59" t="s">
        <v>80</v>
      </c>
      <c r="IGU68" s="59" t="s">
        <v>81</v>
      </c>
      <c r="IGV68" s="59" t="s">
        <v>64</v>
      </c>
      <c r="IGW68" s="59" t="s">
        <v>98</v>
      </c>
      <c r="IGX68" s="59" t="s">
        <v>124</v>
      </c>
      <c r="IGY68" s="59" t="s">
        <v>101</v>
      </c>
      <c r="IGZ68" s="56"/>
      <c r="IHA68" s="57"/>
      <c r="IHB68" s="57"/>
      <c r="IHC68" s="57"/>
      <c r="IHD68" s="57"/>
      <c r="IHE68" s="57"/>
      <c r="IHF68" s="57"/>
      <c r="IHG68" s="59" t="s">
        <v>77</v>
      </c>
      <c r="IHH68" s="59" t="s">
        <v>78</v>
      </c>
      <c r="IHI68" s="59" t="s">
        <v>79</v>
      </c>
      <c r="IHJ68" s="59" t="s">
        <v>80</v>
      </c>
      <c r="IHK68" s="59" t="s">
        <v>81</v>
      </c>
      <c r="IHL68" s="59" t="s">
        <v>64</v>
      </c>
      <c r="IHM68" s="59" t="s">
        <v>98</v>
      </c>
      <c r="IHN68" s="59" t="s">
        <v>124</v>
      </c>
      <c r="IHO68" s="59" t="s">
        <v>101</v>
      </c>
      <c r="IHP68" s="56"/>
      <c r="IHQ68" s="57"/>
      <c r="IHR68" s="57"/>
      <c r="IHS68" s="57"/>
      <c r="IHT68" s="57"/>
      <c r="IHU68" s="57"/>
      <c r="IHV68" s="57"/>
      <c r="IHW68" s="59" t="s">
        <v>77</v>
      </c>
      <c r="IHX68" s="59" t="s">
        <v>78</v>
      </c>
      <c r="IHY68" s="59" t="s">
        <v>79</v>
      </c>
      <c r="IHZ68" s="59" t="s">
        <v>80</v>
      </c>
      <c r="IIA68" s="59" t="s">
        <v>81</v>
      </c>
      <c r="IIB68" s="59" t="s">
        <v>64</v>
      </c>
      <c r="IIC68" s="59" t="s">
        <v>98</v>
      </c>
      <c r="IID68" s="59" t="s">
        <v>124</v>
      </c>
      <c r="IIE68" s="59" t="s">
        <v>101</v>
      </c>
      <c r="IIF68" s="56"/>
      <c r="IIG68" s="57"/>
      <c r="IIH68" s="57"/>
      <c r="III68" s="57"/>
      <c r="IIJ68" s="57"/>
      <c r="IIK68" s="57"/>
      <c r="IIL68" s="57"/>
      <c r="IIM68" s="59" t="s">
        <v>77</v>
      </c>
      <c r="IIN68" s="59" t="s">
        <v>78</v>
      </c>
      <c r="IIO68" s="59" t="s">
        <v>79</v>
      </c>
      <c r="IIP68" s="59" t="s">
        <v>80</v>
      </c>
      <c r="IIQ68" s="59" t="s">
        <v>81</v>
      </c>
      <c r="IIR68" s="59" t="s">
        <v>64</v>
      </c>
      <c r="IIS68" s="59" t="s">
        <v>98</v>
      </c>
      <c r="IIT68" s="59" t="s">
        <v>124</v>
      </c>
      <c r="IIU68" s="59" t="s">
        <v>101</v>
      </c>
      <c r="IIV68" s="56"/>
      <c r="IIW68" s="57"/>
      <c r="IIX68" s="57"/>
      <c r="IIY68" s="57"/>
      <c r="IIZ68" s="57"/>
      <c r="IJA68" s="57"/>
      <c r="IJB68" s="57"/>
      <c r="IJC68" s="59" t="s">
        <v>77</v>
      </c>
      <c r="IJD68" s="59" t="s">
        <v>78</v>
      </c>
      <c r="IJE68" s="59" t="s">
        <v>79</v>
      </c>
      <c r="IJF68" s="59" t="s">
        <v>80</v>
      </c>
      <c r="IJG68" s="59" t="s">
        <v>81</v>
      </c>
      <c r="IJH68" s="59" t="s">
        <v>64</v>
      </c>
      <c r="IJI68" s="59" t="s">
        <v>98</v>
      </c>
      <c r="IJJ68" s="59" t="s">
        <v>124</v>
      </c>
      <c r="IJK68" s="59" t="s">
        <v>101</v>
      </c>
      <c r="IJL68" s="56"/>
      <c r="IJM68" s="57"/>
      <c r="IJN68" s="57"/>
      <c r="IJO68" s="57"/>
      <c r="IJP68" s="57"/>
      <c r="IJQ68" s="57"/>
      <c r="IJR68" s="57"/>
      <c r="IJS68" s="59" t="s">
        <v>77</v>
      </c>
      <c r="IJT68" s="59" t="s">
        <v>78</v>
      </c>
      <c r="IJU68" s="59" t="s">
        <v>79</v>
      </c>
      <c r="IJV68" s="59" t="s">
        <v>80</v>
      </c>
      <c r="IJW68" s="59" t="s">
        <v>81</v>
      </c>
      <c r="IJX68" s="59" t="s">
        <v>64</v>
      </c>
      <c r="IJY68" s="59" t="s">
        <v>98</v>
      </c>
      <c r="IJZ68" s="59" t="s">
        <v>124</v>
      </c>
      <c r="IKA68" s="59" t="s">
        <v>101</v>
      </c>
      <c r="IKB68" s="56"/>
      <c r="IKC68" s="57"/>
      <c r="IKD68" s="57"/>
      <c r="IKE68" s="57"/>
      <c r="IKF68" s="57"/>
      <c r="IKG68" s="57"/>
      <c r="IKH68" s="57"/>
      <c r="IKI68" s="59" t="s">
        <v>77</v>
      </c>
      <c r="IKJ68" s="59" t="s">
        <v>78</v>
      </c>
      <c r="IKK68" s="59" t="s">
        <v>79</v>
      </c>
      <c r="IKL68" s="59" t="s">
        <v>80</v>
      </c>
      <c r="IKM68" s="59" t="s">
        <v>81</v>
      </c>
      <c r="IKN68" s="59" t="s">
        <v>64</v>
      </c>
      <c r="IKO68" s="59" t="s">
        <v>98</v>
      </c>
      <c r="IKP68" s="59" t="s">
        <v>124</v>
      </c>
      <c r="IKQ68" s="59" t="s">
        <v>101</v>
      </c>
      <c r="IKR68" s="56"/>
      <c r="IKS68" s="57"/>
      <c r="IKT68" s="57"/>
      <c r="IKU68" s="57"/>
      <c r="IKV68" s="57"/>
      <c r="IKW68" s="57"/>
      <c r="IKX68" s="57"/>
      <c r="IKY68" s="59" t="s">
        <v>77</v>
      </c>
      <c r="IKZ68" s="59" t="s">
        <v>78</v>
      </c>
      <c r="ILA68" s="59" t="s">
        <v>79</v>
      </c>
      <c r="ILB68" s="59" t="s">
        <v>80</v>
      </c>
      <c r="ILC68" s="59" t="s">
        <v>81</v>
      </c>
      <c r="ILD68" s="59" t="s">
        <v>64</v>
      </c>
      <c r="ILE68" s="59" t="s">
        <v>98</v>
      </c>
      <c r="ILF68" s="59" t="s">
        <v>124</v>
      </c>
      <c r="ILG68" s="59" t="s">
        <v>101</v>
      </c>
      <c r="ILH68" s="56"/>
      <c r="ILI68" s="57"/>
      <c r="ILJ68" s="57"/>
      <c r="ILK68" s="57"/>
      <c r="ILL68" s="57"/>
      <c r="ILM68" s="57"/>
      <c r="ILN68" s="57"/>
      <c r="ILO68" s="59" t="s">
        <v>77</v>
      </c>
      <c r="ILP68" s="59" t="s">
        <v>78</v>
      </c>
      <c r="ILQ68" s="59" t="s">
        <v>79</v>
      </c>
      <c r="ILR68" s="59" t="s">
        <v>80</v>
      </c>
      <c r="ILS68" s="59" t="s">
        <v>81</v>
      </c>
      <c r="ILT68" s="59" t="s">
        <v>64</v>
      </c>
      <c r="ILU68" s="59" t="s">
        <v>98</v>
      </c>
      <c r="ILV68" s="59" t="s">
        <v>124</v>
      </c>
      <c r="ILW68" s="59" t="s">
        <v>101</v>
      </c>
      <c r="ILX68" s="56"/>
      <c r="ILY68" s="57"/>
      <c r="ILZ68" s="57"/>
      <c r="IMA68" s="57"/>
      <c r="IMB68" s="57"/>
      <c r="IMC68" s="57"/>
      <c r="IMD68" s="57"/>
      <c r="IME68" s="59" t="s">
        <v>77</v>
      </c>
      <c r="IMF68" s="59" t="s">
        <v>78</v>
      </c>
      <c r="IMG68" s="59" t="s">
        <v>79</v>
      </c>
      <c r="IMH68" s="59" t="s">
        <v>80</v>
      </c>
      <c r="IMI68" s="59" t="s">
        <v>81</v>
      </c>
      <c r="IMJ68" s="59" t="s">
        <v>64</v>
      </c>
      <c r="IMK68" s="59" t="s">
        <v>98</v>
      </c>
      <c r="IML68" s="59" t="s">
        <v>124</v>
      </c>
      <c r="IMM68" s="59" t="s">
        <v>101</v>
      </c>
      <c r="IMN68" s="56"/>
      <c r="IMO68" s="57"/>
      <c r="IMP68" s="57"/>
      <c r="IMQ68" s="57"/>
      <c r="IMR68" s="57"/>
      <c r="IMS68" s="57"/>
      <c r="IMT68" s="57"/>
      <c r="IMU68" s="59" t="s">
        <v>77</v>
      </c>
      <c r="IMV68" s="59" t="s">
        <v>78</v>
      </c>
      <c r="IMW68" s="59" t="s">
        <v>79</v>
      </c>
      <c r="IMX68" s="59" t="s">
        <v>80</v>
      </c>
      <c r="IMY68" s="59" t="s">
        <v>81</v>
      </c>
      <c r="IMZ68" s="59" t="s">
        <v>64</v>
      </c>
      <c r="INA68" s="59" t="s">
        <v>98</v>
      </c>
      <c r="INB68" s="59" t="s">
        <v>124</v>
      </c>
      <c r="INC68" s="59" t="s">
        <v>101</v>
      </c>
      <c r="IND68" s="56"/>
      <c r="INE68" s="57"/>
      <c r="INF68" s="57"/>
      <c r="ING68" s="57"/>
      <c r="INH68" s="57"/>
      <c r="INI68" s="57"/>
      <c r="INJ68" s="57"/>
      <c r="INK68" s="59" t="s">
        <v>77</v>
      </c>
      <c r="INL68" s="59" t="s">
        <v>78</v>
      </c>
      <c r="INM68" s="59" t="s">
        <v>79</v>
      </c>
      <c r="INN68" s="59" t="s">
        <v>80</v>
      </c>
      <c r="INO68" s="59" t="s">
        <v>81</v>
      </c>
      <c r="INP68" s="59" t="s">
        <v>64</v>
      </c>
      <c r="INQ68" s="59" t="s">
        <v>98</v>
      </c>
      <c r="INR68" s="59" t="s">
        <v>124</v>
      </c>
      <c r="INS68" s="59" t="s">
        <v>101</v>
      </c>
      <c r="INT68" s="56"/>
      <c r="INU68" s="57"/>
      <c r="INV68" s="57"/>
      <c r="INW68" s="57"/>
      <c r="INX68" s="57"/>
      <c r="INY68" s="57"/>
      <c r="INZ68" s="57"/>
      <c r="IOA68" s="59" t="s">
        <v>77</v>
      </c>
      <c r="IOB68" s="59" t="s">
        <v>78</v>
      </c>
      <c r="IOC68" s="59" t="s">
        <v>79</v>
      </c>
      <c r="IOD68" s="59" t="s">
        <v>80</v>
      </c>
      <c r="IOE68" s="59" t="s">
        <v>81</v>
      </c>
      <c r="IOF68" s="59" t="s">
        <v>64</v>
      </c>
      <c r="IOG68" s="59" t="s">
        <v>98</v>
      </c>
      <c r="IOH68" s="59" t="s">
        <v>124</v>
      </c>
      <c r="IOI68" s="59" t="s">
        <v>101</v>
      </c>
      <c r="IOJ68" s="56"/>
      <c r="IOK68" s="57"/>
      <c r="IOL68" s="57"/>
      <c r="IOM68" s="57"/>
      <c r="ION68" s="57"/>
      <c r="IOO68" s="57"/>
      <c r="IOP68" s="57"/>
      <c r="IOQ68" s="59" t="s">
        <v>77</v>
      </c>
      <c r="IOR68" s="59" t="s">
        <v>78</v>
      </c>
      <c r="IOS68" s="59" t="s">
        <v>79</v>
      </c>
      <c r="IOT68" s="59" t="s">
        <v>80</v>
      </c>
      <c r="IOU68" s="59" t="s">
        <v>81</v>
      </c>
      <c r="IOV68" s="59" t="s">
        <v>64</v>
      </c>
      <c r="IOW68" s="59" t="s">
        <v>98</v>
      </c>
      <c r="IOX68" s="59" t="s">
        <v>124</v>
      </c>
      <c r="IOY68" s="59" t="s">
        <v>101</v>
      </c>
      <c r="IOZ68" s="56"/>
      <c r="IPA68" s="57"/>
      <c r="IPB68" s="57"/>
      <c r="IPC68" s="57"/>
      <c r="IPD68" s="57"/>
      <c r="IPE68" s="57"/>
      <c r="IPF68" s="57"/>
      <c r="IPG68" s="59" t="s">
        <v>77</v>
      </c>
      <c r="IPH68" s="59" t="s">
        <v>78</v>
      </c>
      <c r="IPI68" s="59" t="s">
        <v>79</v>
      </c>
      <c r="IPJ68" s="59" t="s">
        <v>80</v>
      </c>
      <c r="IPK68" s="59" t="s">
        <v>81</v>
      </c>
      <c r="IPL68" s="59" t="s">
        <v>64</v>
      </c>
      <c r="IPM68" s="59" t="s">
        <v>98</v>
      </c>
      <c r="IPN68" s="59" t="s">
        <v>124</v>
      </c>
      <c r="IPO68" s="59" t="s">
        <v>101</v>
      </c>
      <c r="IPP68" s="56"/>
      <c r="IPQ68" s="57"/>
      <c r="IPR68" s="57"/>
      <c r="IPS68" s="57"/>
      <c r="IPT68" s="57"/>
      <c r="IPU68" s="57"/>
      <c r="IPV68" s="57"/>
      <c r="IPW68" s="59" t="s">
        <v>77</v>
      </c>
      <c r="IPX68" s="59" t="s">
        <v>78</v>
      </c>
      <c r="IPY68" s="59" t="s">
        <v>79</v>
      </c>
      <c r="IPZ68" s="59" t="s">
        <v>80</v>
      </c>
      <c r="IQA68" s="59" t="s">
        <v>81</v>
      </c>
      <c r="IQB68" s="59" t="s">
        <v>64</v>
      </c>
      <c r="IQC68" s="59" t="s">
        <v>98</v>
      </c>
      <c r="IQD68" s="59" t="s">
        <v>124</v>
      </c>
      <c r="IQE68" s="59" t="s">
        <v>101</v>
      </c>
      <c r="IQF68" s="56"/>
      <c r="IQG68" s="57"/>
      <c r="IQH68" s="57"/>
      <c r="IQI68" s="57"/>
      <c r="IQJ68" s="57"/>
      <c r="IQK68" s="57"/>
      <c r="IQL68" s="57"/>
      <c r="IQM68" s="59" t="s">
        <v>77</v>
      </c>
      <c r="IQN68" s="59" t="s">
        <v>78</v>
      </c>
      <c r="IQO68" s="59" t="s">
        <v>79</v>
      </c>
      <c r="IQP68" s="59" t="s">
        <v>80</v>
      </c>
      <c r="IQQ68" s="59" t="s">
        <v>81</v>
      </c>
      <c r="IQR68" s="59" t="s">
        <v>64</v>
      </c>
      <c r="IQS68" s="59" t="s">
        <v>98</v>
      </c>
      <c r="IQT68" s="59" t="s">
        <v>124</v>
      </c>
      <c r="IQU68" s="59" t="s">
        <v>101</v>
      </c>
      <c r="IQV68" s="56"/>
      <c r="IQW68" s="57"/>
      <c r="IQX68" s="57"/>
      <c r="IQY68" s="57"/>
      <c r="IQZ68" s="57"/>
      <c r="IRA68" s="57"/>
      <c r="IRB68" s="57"/>
      <c r="IRC68" s="59" t="s">
        <v>77</v>
      </c>
      <c r="IRD68" s="59" t="s">
        <v>78</v>
      </c>
      <c r="IRE68" s="59" t="s">
        <v>79</v>
      </c>
      <c r="IRF68" s="59" t="s">
        <v>80</v>
      </c>
      <c r="IRG68" s="59" t="s">
        <v>81</v>
      </c>
      <c r="IRH68" s="59" t="s">
        <v>64</v>
      </c>
      <c r="IRI68" s="59" t="s">
        <v>98</v>
      </c>
      <c r="IRJ68" s="59" t="s">
        <v>124</v>
      </c>
      <c r="IRK68" s="59" t="s">
        <v>101</v>
      </c>
      <c r="IRL68" s="56"/>
      <c r="IRM68" s="57"/>
      <c r="IRN68" s="57"/>
      <c r="IRO68" s="57"/>
      <c r="IRP68" s="57"/>
      <c r="IRQ68" s="57"/>
      <c r="IRR68" s="57"/>
      <c r="IRS68" s="59" t="s">
        <v>77</v>
      </c>
      <c r="IRT68" s="59" t="s">
        <v>78</v>
      </c>
      <c r="IRU68" s="59" t="s">
        <v>79</v>
      </c>
      <c r="IRV68" s="59" t="s">
        <v>80</v>
      </c>
      <c r="IRW68" s="59" t="s">
        <v>81</v>
      </c>
      <c r="IRX68" s="59" t="s">
        <v>64</v>
      </c>
      <c r="IRY68" s="59" t="s">
        <v>98</v>
      </c>
      <c r="IRZ68" s="59" t="s">
        <v>124</v>
      </c>
      <c r="ISA68" s="59" t="s">
        <v>101</v>
      </c>
      <c r="ISB68" s="56"/>
      <c r="ISC68" s="57"/>
      <c r="ISD68" s="57"/>
      <c r="ISE68" s="57"/>
      <c r="ISF68" s="57"/>
      <c r="ISG68" s="57"/>
      <c r="ISH68" s="57"/>
      <c r="ISI68" s="59" t="s">
        <v>77</v>
      </c>
      <c r="ISJ68" s="59" t="s">
        <v>78</v>
      </c>
      <c r="ISK68" s="59" t="s">
        <v>79</v>
      </c>
      <c r="ISL68" s="59" t="s">
        <v>80</v>
      </c>
      <c r="ISM68" s="59" t="s">
        <v>81</v>
      </c>
      <c r="ISN68" s="59" t="s">
        <v>64</v>
      </c>
      <c r="ISO68" s="59" t="s">
        <v>98</v>
      </c>
      <c r="ISP68" s="59" t="s">
        <v>124</v>
      </c>
      <c r="ISQ68" s="59" t="s">
        <v>101</v>
      </c>
      <c r="ISR68" s="56"/>
      <c r="ISS68" s="57"/>
      <c r="IST68" s="57"/>
      <c r="ISU68" s="57"/>
      <c r="ISV68" s="57"/>
      <c r="ISW68" s="57"/>
      <c r="ISX68" s="57"/>
      <c r="ISY68" s="59" t="s">
        <v>77</v>
      </c>
      <c r="ISZ68" s="59" t="s">
        <v>78</v>
      </c>
      <c r="ITA68" s="59" t="s">
        <v>79</v>
      </c>
      <c r="ITB68" s="59" t="s">
        <v>80</v>
      </c>
      <c r="ITC68" s="59" t="s">
        <v>81</v>
      </c>
      <c r="ITD68" s="59" t="s">
        <v>64</v>
      </c>
      <c r="ITE68" s="59" t="s">
        <v>98</v>
      </c>
      <c r="ITF68" s="59" t="s">
        <v>124</v>
      </c>
      <c r="ITG68" s="59" t="s">
        <v>101</v>
      </c>
      <c r="ITH68" s="56"/>
      <c r="ITI68" s="57"/>
      <c r="ITJ68" s="57"/>
      <c r="ITK68" s="57"/>
      <c r="ITL68" s="57"/>
      <c r="ITM68" s="57"/>
      <c r="ITN68" s="57"/>
      <c r="ITO68" s="59" t="s">
        <v>77</v>
      </c>
      <c r="ITP68" s="59" t="s">
        <v>78</v>
      </c>
      <c r="ITQ68" s="59" t="s">
        <v>79</v>
      </c>
      <c r="ITR68" s="59" t="s">
        <v>80</v>
      </c>
      <c r="ITS68" s="59" t="s">
        <v>81</v>
      </c>
      <c r="ITT68" s="59" t="s">
        <v>64</v>
      </c>
      <c r="ITU68" s="59" t="s">
        <v>98</v>
      </c>
      <c r="ITV68" s="59" t="s">
        <v>124</v>
      </c>
      <c r="ITW68" s="59" t="s">
        <v>101</v>
      </c>
      <c r="ITX68" s="56"/>
      <c r="ITY68" s="57"/>
      <c r="ITZ68" s="57"/>
      <c r="IUA68" s="57"/>
      <c r="IUB68" s="57"/>
      <c r="IUC68" s="57"/>
      <c r="IUD68" s="57"/>
      <c r="IUE68" s="59" t="s">
        <v>77</v>
      </c>
      <c r="IUF68" s="59" t="s">
        <v>78</v>
      </c>
      <c r="IUG68" s="59" t="s">
        <v>79</v>
      </c>
      <c r="IUH68" s="59" t="s">
        <v>80</v>
      </c>
      <c r="IUI68" s="59" t="s">
        <v>81</v>
      </c>
      <c r="IUJ68" s="59" t="s">
        <v>64</v>
      </c>
      <c r="IUK68" s="59" t="s">
        <v>98</v>
      </c>
      <c r="IUL68" s="59" t="s">
        <v>124</v>
      </c>
      <c r="IUM68" s="59" t="s">
        <v>101</v>
      </c>
      <c r="IUN68" s="56"/>
      <c r="IUO68" s="57"/>
      <c r="IUP68" s="57"/>
      <c r="IUQ68" s="57"/>
      <c r="IUR68" s="57"/>
      <c r="IUS68" s="57"/>
      <c r="IUT68" s="57"/>
      <c r="IUU68" s="59" t="s">
        <v>77</v>
      </c>
      <c r="IUV68" s="59" t="s">
        <v>78</v>
      </c>
      <c r="IUW68" s="59" t="s">
        <v>79</v>
      </c>
      <c r="IUX68" s="59" t="s">
        <v>80</v>
      </c>
      <c r="IUY68" s="59" t="s">
        <v>81</v>
      </c>
      <c r="IUZ68" s="59" t="s">
        <v>64</v>
      </c>
      <c r="IVA68" s="59" t="s">
        <v>98</v>
      </c>
      <c r="IVB68" s="59" t="s">
        <v>124</v>
      </c>
      <c r="IVC68" s="59" t="s">
        <v>101</v>
      </c>
      <c r="IVD68" s="56"/>
      <c r="IVE68" s="57"/>
      <c r="IVF68" s="57"/>
      <c r="IVG68" s="57"/>
      <c r="IVH68" s="57"/>
      <c r="IVI68" s="57"/>
      <c r="IVJ68" s="57"/>
      <c r="IVK68" s="59" t="s">
        <v>77</v>
      </c>
      <c r="IVL68" s="59" t="s">
        <v>78</v>
      </c>
      <c r="IVM68" s="59" t="s">
        <v>79</v>
      </c>
      <c r="IVN68" s="59" t="s">
        <v>80</v>
      </c>
      <c r="IVO68" s="59" t="s">
        <v>81</v>
      </c>
      <c r="IVP68" s="59" t="s">
        <v>64</v>
      </c>
      <c r="IVQ68" s="59" t="s">
        <v>98</v>
      </c>
      <c r="IVR68" s="59" t="s">
        <v>124</v>
      </c>
      <c r="IVS68" s="59" t="s">
        <v>101</v>
      </c>
      <c r="IVT68" s="56"/>
      <c r="IVU68" s="57"/>
      <c r="IVV68" s="57"/>
      <c r="IVW68" s="57"/>
      <c r="IVX68" s="57"/>
      <c r="IVY68" s="57"/>
      <c r="IVZ68" s="57"/>
      <c r="IWA68" s="59" t="s">
        <v>77</v>
      </c>
      <c r="IWB68" s="59" t="s">
        <v>78</v>
      </c>
      <c r="IWC68" s="59" t="s">
        <v>79</v>
      </c>
      <c r="IWD68" s="59" t="s">
        <v>80</v>
      </c>
      <c r="IWE68" s="59" t="s">
        <v>81</v>
      </c>
      <c r="IWF68" s="59" t="s">
        <v>64</v>
      </c>
      <c r="IWG68" s="59" t="s">
        <v>98</v>
      </c>
      <c r="IWH68" s="59" t="s">
        <v>124</v>
      </c>
      <c r="IWI68" s="59" t="s">
        <v>101</v>
      </c>
      <c r="IWJ68" s="56"/>
      <c r="IWK68" s="57"/>
      <c r="IWL68" s="57"/>
      <c r="IWM68" s="57"/>
      <c r="IWN68" s="57"/>
      <c r="IWO68" s="57"/>
      <c r="IWP68" s="57"/>
      <c r="IWQ68" s="59" t="s">
        <v>77</v>
      </c>
      <c r="IWR68" s="59" t="s">
        <v>78</v>
      </c>
      <c r="IWS68" s="59" t="s">
        <v>79</v>
      </c>
      <c r="IWT68" s="59" t="s">
        <v>80</v>
      </c>
      <c r="IWU68" s="59" t="s">
        <v>81</v>
      </c>
      <c r="IWV68" s="59" t="s">
        <v>64</v>
      </c>
      <c r="IWW68" s="59" t="s">
        <v>98</v>
      </c>
      <c r="IWX68" s="59" t="s">
        <v>124</v>
      </c>
      <c r="IWY68" s="59" t="s">
        <v>101</v>
      </c>
      <c r="IWZ68" s="56"/>
      <c r="IXA68" s="57"/>
      <c r="IXB68" s="57"/>
      <c r="IXC68" s="57"/>
      <c r="IXD68" s="57"/>
      <c r="IXE68" s="57"/>
      <c r="IXF68" s="57"/>
      <c r="IXG68" s="59" t="s">
        <v>77</v>
      </c>
      <c r="IXH68" s="59" t="s">
        <v>78</v>
      </c>
      <c r="IXI68" s="59" t="s">
        <v>79</v>
      </c>
      <c r="IXJ68" s="59" t="s">
        <v>80</v>
      </c>
      <c r="IXK68" s="59" t="s">
        <v>81</v>
      </c>
      <c r="IXL68" s="59" t="s">
        <v>64</v>
      </c>
      <c r="IXM68" s="59" t="s">
        <v>98</v>
      </c>
      <c r="IXN68" s="59" t="s">
        <v>124</v>
      </c>
      <c r="IXO68" s="59" t="s">
        <v>101</v>
      </c>
      <c r="IXP68" s="56"/>
      <c r="IXQ68" s="57"/>
      <c r="IXR68" s="57"/>
      <c r="IXS68" s="57"/>
      <c r="IXT68" s="57"/>
      <c r="IXU68" s="57"/>
      <c r="IXV68" s="57"/>
      <c r="IXW68" s="59" t="s">
        <v>77</v>
      </c>
      <c r="IXX68" s="59" t="s">
        <v>78</v>
      </c>
      <c r="IXY68" s="59" t="s">
        <v>79</v>
      </c>
      <c r="IXZ68" s="59" t="s">
        <v>80</v>
      </c>
      <c r="IYA68" s="59" t="s">
        <v>81</v>
      </c>
      <c r="IYB68" s="59" t="s">
        <v>64</v>
      </c>
      <c r="IYC68" s="59" t="s">
        <v>98</v>
      </c>
      <c r="IYD68" s="59" t="s">
        <v>124</v>
      </c>
      <c r="IYE68" s="59" t="s">
        <v>101</v>
      </c>
      <c r="IYF68" s="56"/>
      <c r="IYG68" s="57"/>
      <c r="IYH68" s="57"/>
      <c r="IYI68" s="57"/>
      <c r="IYJ68" s="57"/>
      <c r="IYK68" s="57"/>
      <c r="IYL68" s="57"/>
      <c r="IYM68" s="59" t="s">
        <v>77</v>
      </c>
      <c r="IYN68" s="59" t="s">
        <v>78</v>
      </c>
      <c r="IYO68" s="59" t="s">
        <v>79</v>
      </c>
      <c r="IYP68" s="59" t="s">
        <v>80</v>
      </c>
      <c r="IYQ68" s="59" t="s">
        <v>81</v>
      </c>
      <c r="IYR68" s="59" t="s">
        <v>64</v>
      </c>
      <c r="IYS68" s="59" t="s">
        <v>98</v>
      </c>
      <c r="IYT68" s="59" t="s">
        <v>124</v>
      </c>
      <c r="IYU68" s="59" t="s">
        <v>101</v>
      </c>
      <c r="IYV68" s="56"/>
      <c r="IYW68" s="57"/>
      <c r="IYX68" s="57"/>
      <c r="IYY68" s="57"/>
      <c r="IYZ68" s="57"/>
      <c r="IZA68" s="57"/>
      <c r="IZB68" s="57"/>
      <c r="IZC68" s="59" t="s">
        <v>77</v>
      </c>
      <c r="IZD68" s="59" t="s">
        <v>78</v>
      </c>
      <c r="IZE68" s="59" t="s">
        <v>79</v>
      </c>
      <c r="IZF68" s="59" t="s">
        <v>80</v>
      </c>
      <c r="IZG68" s="59" t="s">
        <v>81</v>
      </c>
      <c r="IZH68" s="59" t="s">
        <v>64</v>
      </c>
      <c r="IZI68" s="59" t="s">
        <v>98</v>
      </c>
      <c r="IZJ68" s="59" t="s">
        <v>124</v>
      </c>
      <c r="IZK68" s="59" t="s">
        <v>101</v>
      </c>
      <c r="IZL68" s="56"/>
      <c r="IZM68" s="57"/>
      <c r="IZN68" s="57"/>
      <c r="IZO68" s="57"/>
      <c r="IZP68" s="57"/>
      <c r="IZQ68" s="57"/>
      <c r="IZR68" s="57"/>
      <c r="IZS68" s="59" t="s">
        <v>77</v>
      </c>
      <c r="IZT68" s="59" t="s">
        <v>78</v>
      </c>
      <c r="IZU68" s="59" t="s">
        <v>79</v>
      </c>
      <c r="IZV68" s="59" t="s">
        <v>80</v>
      </c>
      <c r="IZW68" s="59" t="s">
        <v>81</v>
      </c>
      <c r="IZX68" s="59" t="s">
        <v>64</v>
      </c>
      <c r="IZY68" s="59" t="s">
        <v>98</v>
      </c>
      <c r="IZZ68" s="59" t="s">
        <v>124</v>
      </c>
      <c r="JAA68" s="59" t="s">
        <v>101</v>
      </c>
      <c r="JAB68" s="56"/>
      <c r="JAC68" s="57"/>
      <c r="JAD68" s="57"/>
      <c r="JAE68" s="57"/>
      <c r="JAF68" s="57"/>
      <c r="JAG68" s="57"/>
      <c r="JAH68" s="57"/>
      <c r="JAI68" s="59" t="s">
        <v>77</v>
      </c>
      <c r="JAJ68" s="59" t="s">
        <v>78</v>
      </c>
      <c r="JAK68" s="59" t="s">
        <v>79</v>
      </c>
      <c r="JAL68" s="59" t="s">
        <v>80</v>
      </c>
      <c r="JAM68" s="59" t="s">
        <v>81</v>
      </c>
      <c r="JAN68" s="59" t="s">
        <v>64</v>
      </c>
      <c r="JAO68" s="59" t="s">
        <v>98</v>
      </c>
      <c r="JAP68" s="59" t="s">
        <v>124</v>
      </c>
      <c r="JAQ68" s="59" t="s">
        <v>101</v>
      </c>
      <c r="JAR68" s="56"/>
      <c r="JAS68" s="57"/>
      <c r="JAT68" s="57"/>
      <c r="JAU68" s="57"/>
      <c r="JAV68" s="57"/>
      <c r="JAW68" s="57"/>
      <c r="JAX68" s="57"/>
      <c r="JAY68" s="59" t="s">
        <v>77</v>
      </c>
      <c r="JAZ68" s="59" t="s">
        <v>78</v>
      </c>
      <c r="JBA68" s="59" t="s">
        <v>79</v>
      </c>
      <c r="JBB68" s="59" t="s">
        <v>80</v>
      </c>
      <c r="JBC68" s="59" t="s">
        <v>81</v>
      </c>
      <c r="JBD68" s="59" t="s">
        <v>64</v>
      </c>
      <c r="JBE68" s="59" t="s">
        <v>98</v>
      </c>
      <c r="JBF68" s="59" t="s">
        <v>124</v>
      </c>
      <c r="JBG68" s="59" t="s">
        <v>101</v>
      </c>
      <c r="JBH68" s="56"/>
      <c r="JBI68" s="57"/>
      <c r="JBJ68" s="57"/>
      <c r="JBK68" s="57"/>
      <c r="JBL68" s="57"/>
      <c r="JBM68" s="57"/>
      <c r="JBN68" s="57"/>
      <c r="JBO68" s="59" t="s">
        <v>77</v>
      </c>
      <c r="JBP68" s="59" t="s">
        <v>78</v>
      </c>
      <c r="JBQ68" s="59" t="s">
        <v>79</v>
      </c>
      <c r="JBR68" s="59" t="s">
        <v>80</v>
      </c>
      <c r="JBS68" s="59" t="s">
        <v>81</v>
      </c>
      <c r="JBT68" s="59" t="s">
        <v>64</v>
      </c>
      <c r="JBU68" s="59" t="s">
        <v>98</v>
      </c>
      <c r="JBV68" s="59" t="s">
        <v>124</v>
      </c>
      <c r="JBW68" s="59" t="s">
        <v>101</v>
      </c>
      <c r="JBX68" s="56"/>
      <c r="JBY68" s="57"/>
      <c r="JBZ68" s="57"/>
      <c r="JCA68" s="57"/>
      <c r="JCB68" s="57"/>
      <c r="JCC68" s="57"/>
      <c r="JCD68" s="57"/>
      <c r="JCE68" s="59" t="s">
        <v>77</v>
      </c>
      <c r="JCF68" s="59" t="s">
        <v>78</v>
      </c>
      <c r="JCG68" s="59" t="s">
        <v>79</v>
      </c>
      <c r="JCH68" s="59" t="s">
        <v>80</v>
      </c>
      <c r="JCI68" s="59" t="s">
        <v>81</v>
      </c>
      <c r="JCJ68" s="59" t="s">
        <v>64</v>
      </c>
      <c r="JCK68" s="59" t="s">
        <v>98</v>
      </c>
      <c r="JCL68" s="59" t="s">
        <v>124</v>
      </c>
      <c r="JCM68" s="59" t="s">
        <v>101</v>
      </c>
      <c r="JCN68" s="56"/>
      <c r="JCO68" s="57"/>
      <c r="JCP68" s="57"/>
      <c r="JCQ68" s="57"/>
      <c r="JCR68" s="57"/>
      <c r="JCS68" s="57"/>
      <c r="JCT68" s="57"/>
      <c r="JCU68" s="59" t="s">
        <v>77</v>
      </c>
      <c r="JCV68" s="59" t="s">
        <v>78</v>
      </c>
      <c r="JCW68" s="59" t="s">
        <v>79</v>
      </c>
      <c r="JCX68" s="59" t="s">
        <v>80</v>
      </c>
      <c r="JCY68" s="59" t="s">
        <v>81</v>
      </c>
      <c r="JCZ68" s="59" t="s">
        <v>64</v>
      </c>
      <c r="JDA68" s="59" t="s">
        <v>98</v>
      </c>
      <c r="JDB68" s="59" t="s">
        <v>124</v>
      </c>
      <c r="JDC68" s="59" t="s">
        <v>101</v>
      </c>
      <c r="JDD68" s="56"/>
      <c r="JDE68" s="57"/>
      <c r="JDF68" s="57"/>
      <c r="JDG68" s="57"/>
      <c r="JDH68" s="57"/>
      <c r="JDI68" s="57"/>
      <c r="JDJ68" s="57"/>
      <c r="JDK68" s="59" t="s">
        <v>77</v>
      </c>
      <c r="JDL68" s="59" t="s">
        <v>78</v>
      </c>
      <c r="JDM68" s="59" t="s">
        <v>79</v>
      </c>
      <c r="JDN68" s="59" t="s">
        <v>80</v>
      </c>
      <c r="JDO68" s="59" t="s">
        <v>81</v>
      </c>
      <c r="JDP68" s="59" t="s">
        <v>64</v>
      </c>
      <c r="JDQ68" s="59" t="s">
        <v>98</v>
      </c>
      <c r="JDR68" s="59" t="s">
        <v>124</v>
      </c>
      <c r="JDS68" s="59" t="s">
        <v>101</v>
      </c>
      <c r="JDT68" s="56"/>
      <c r="JDU68" s="57"/>
      <c r="JDV68" s="57"/>
      <c r="JDW68" s="57"/>
      <c r="JDX68" s="57"/>
      <c r="JDY68" s="57"/>
      <c r="JDZ68" s="57"/>
      <c r="JEA68" s="59" t="s">
        <v>77</v>
      </c>
      <c r="JEB68" s="59" t="s">
        <v>78</v>
      </c>
      <c r="JEC68" s="59" t="s">
        <v>79</v>
      </c>
      <c r="JED68" s="59" t="s">
        <v>80</v>
      </c>
      <c r="JEE68" s="59" t="s">
        <v>81</v>
      </c>
      <c r="JEF68" s="59" t="s">
        <v>64</v>
      </c>
      <c r="JEG68" s="59" t="s">
        <v>98</v>
      </c>
      <c r="JEH68" s="59" t="s">
        <v>124</v>
      </c>
      <c r="JEI68" s="59" t="s">
        <v>101</v>
      </c>
      <c r="JEJ68" s="56"/>
      <c r="JEK68" s="57"/>
      <c r="JEL68" s="57"/>
      <c r="JEM68" s="57"/>
      <c r="JEN68" s="57"/>
      <c r="JEO68" s="57"/>
      <c r="JEP68" s="57"/>
      <c r="JEQ68" s="59" t="s">
        <v>77</v>
      </c>
      <c r="JER68" s="59" t="s">
        <v>78</v>
      </c>
      <c r="JES68" s="59" t="s">
        <v>79</v>
      </c>
      <c r="JET68" s="59" t="s">
        <v>80</v>
      </c>
      <c r="JEU68" s="59" t="s">
        <v>81</v>
      </c>
      <c r="JEV68" s="59" t="s">
        <v>64</v>
      </c>
      <c r="JEW68" s="59" t="s">
        <v>98</v>
      </c>
      <c r="JEX68" s="59" t="s">
        <v>124</v>
      </c>
      <c r="JEY68" s="59" t="s">
        <v>101</v>
      </c>
      <c r="JEZ68" s="56"/>
      <c r="JFA68" s="57"/>
      <c r="JFB68" s="57"/>
      <c r="JFC68" s="57"/>
      <c r="JFD68" s="57"/>
      <c r="JFE68" s="57"/>
      <c r="JFF68" s="57"/>
      <c r="JFG68" s="59" t="s">
        <v>77</v>
      </c>
      <c r="JFH68" s="59" t="s">
        <v>78</v>
      </c>
      <c r="JFI68" s="59" t="s">
        <v>79</v>
      </c>
      <c r="JFJ68" s="59" t="s">
        <v>80</v>
      </c>
      <c r="JFK68" s="59" t="s">
        <v>81</v>
      </c>
      <c r="JFL68" s="59" t="s">
        <v>64</v>
      </c>
      <c r="JFM68" s="59" t="s">
        <v>98</v>
      </c>
      <c r="JFN68" s="59" t="s">
        <v>124</v>
      </c>
      <c r="JFO68" s="59" t="s">
        <v>101</v>
      </c>
      <c r="JFP68" s="56"/>
      <c r="JFQ68" s="57"/>
      <c r="JFR68" s="57"/>
      <c r="JFS68" s="57"/>
      <c r="JFT68" s="57"/>
      <c r="JFU68" s="57"/>
      <c r="JFV68" s="57"/>
      <c r="JFW68" s="59" t="s">
        <v>77</v>
      </c>
      <c r="JFX68" s="59" t="s">
        <v>78</v>
      </c>
      <c r="JFY68" s="59" t="s">
        <v>79</v>
      </c>
      <c r="JFZ68" s="59" t="s">
        <v>80</v>
      </c>
      <c r="JGA68" s="59" t="s">
        <v>81</v>
      </c>
      <c r="JGB68" s="59" t="s">
        <v>64</v>
      </c>
      <c r="JGC68" s="59" t="s">
        <v>98</v>
      </c>
      <c r="JGD68" s="59" t="s">
        <v>124</v>
      </c>
      <c r="JGE68" s="59" t="s">
        <v>101</v>
      </c>
      <c r="JGF68" s="56"/>
      <c r="JGG68" s="57"/>
      <c r="JGH68" s="57"/>
      <c r="JGI68" s="57"/>
      <c r="JGJ68" s="57"/>
      <c r="JGK68" s="57"/>
      <c r="JGL68" s="57"/>
      <c r="JGM68" s="59" t="s">
        <v>77</v>
      </c>
      <c r="JGN68" s="59" t="s">
        <v>78</v>
      </c>
      <c r="JGO68" s="59" t="s">
        <v>79</v>
      </c>
      <c r="JGP68" s="59" t="s">
        <v>80</v>
      </c>
      <c r="JGQ68" s="59" t="s">
        <v>81</v>
      </c>
      <c r="JGR68" s="59" t="s">
        <v>64</v>
      </c>
      <c r="JGS68" s="59" t="s">
        <v>98</v>
      </c>
      <c r="JGT68" s="59" t="s">
        <v>124</v>
      </c>
      <c r="JGU68" s="59" t="s">
        <v>101</v>
      </c>
      <c r="JGV68" s="56"/>
      <c r="JGW68" s="57"/>
      <c r="JGX68" s="57"/>
      <c r="JGY68" s="57"/>
      <c r="JGZ68" s="57"/>
      <c r="JHA68" s="57"/>
      <c r="JHB68" s="57"/>
      <c r="JHC68" s="59" t="s">
        <v>77</v>
      </c>
      <c r="JHD68" s="59" t="s">
        <v>78</v>
      </c>
      <c r="JHE68" s="59" t="s">
        <v>79</v>
      </c>
      <c r="JHF68" s="59" t="s">
        <v>80</v>
      </c>
      <c r="JHG68" s="59" t="s">
        <v>81</v>
      </c>
      <c r="JHH68" s="59" t="s">
        <v>64</v>
      </c>
      <c r="JHI68" s="59" t="s">
        <v>98</v>
      </c>
      <c r="JHJ68" s="59" t="s">
        <v>124</v>
      </c>
      <c r="JHK68" s="59" t="s">
        <v>101</v>
      </c>
      <c r="JHL68" s="56"/>
      <c r="JHM68" s="57"/>
      <c r="JHN68" s="57"/>
      <c r="JHO68" s="57"/>
      <c r="JHP68" s="57"/>
      <c r="JHQ68" s="57"/>
      <c r="JHR68" s="57"/>
      <c r="JHS68" s="59" t="s">
        <v>77</v>
      </c>
      <c r="JHT68" s="59" t="s">
        <v>78</v>
      </c>
      <c r="JHU68" s="59" t="s">
        <v>79</v>
      </c>
      <c r="JHV68" s="59" t="s">
        <v>80</v>
      </c>
      <c r="JHW68" s="59" t="s">
        <v>81</v>
      </c>
      <c r="JHX68" s="59" t="s">
        <v>64</v>
      </c>
      <c r="JHY68" s="59" t="s">
        <v>98</v>
      </c>
      <c r="JHZ68" s="59" t="s">
        <v>124</v>
      </c>
      <c r="JIA68" s="59" t="s">
        <v>101</v>
      </c>
      <c r="JIB68" s="56"/>
      <c r="JIC68" s="57"/>
      <c r="JID68" s="57"/>
      <c r="JIE68" s="57"/>
      <c r="JIF68" s="57"/>
      <c r="JIG68" s="57"/>
      <c r="JIH68" s="57"/>
      <c r="JII68" s="59" t="s">
        <v>77</v>
      </c>
      <c r="JIJ68" s="59" t="s">
        <v>78</v>
      </c>
      <c r="JIK68" s="59" t="s">
        <v>79</v>
      </c>
      <c r="JIL68" s="59" t="s">
        <v>80</v>
      </c>
      <c r="JIM68" s="59" t="s">
        <v>81</v>
      </c>
      <c r="JIN68" s="59" t="s">
        <v>64</v>
      </c>
      <c r="JIO68" s="59" t="s">
        <v>98</v>
      </c>
      <c r="JIP68" s="59" t="s">
        <v>124</v>
      </c>
      <c r="JIQ68" s="59" t="s">
        <v>101</v>
      </c>
      <c r="JIR68" s="56"/>
      <c r="JIS68" s="57"/>
      <c r="JIT68" s="57"/>
      <c r="JIU68" s="57"/>
      <c r="JIV68" s="57"/>
      <c r="JIW68" s="57"/>
      <c r="JIX68" s="57"/>
      <c r="JIY68" s="59" t="s">
        <v>77</v>
      </c>
      <c r="JIZ68" s="59" t="s">
        <v>78</v>
      </c>
      <c r="JJA68" s="59" t="s">
        <v>79</v>
      </c>
      <c r="JJB68" s="59" t="s">
        <v>80</v>
      </c>
      <c r="JJC68" s="59" t="s">
        <v>81</v>
      </c>
      <c r="JJD68" s="59" t="s">
        <v>64</v>
      </c>
      <c r="JJE68" s="59" t="s">
        <v>98</v>
      </c>
      <c r="JJF68" s="59" t="s">
        <v>124</v>
      </c>
      <c r="JJG68" s="59" t="s">
        <v>101</v>
      </c>
      <c r="JJH68" s="56"/>
      <c r="JJI68" s="57"/>
      <c r="JJJ68" s="57"/>
      <c r="JJK68" s="57"/>
      <c r="JJL68" s="57"/>
      <c r="JJM68" s="57"/>
      <c r="JJN68" s="57"/>
      <c r="JJO68" s="59" t="s">
        <v>77</v>
      </c>
      <c r="JJP68" s="59" t="s">
        <v>78</v>
      </c>
      <c r="JJQ68" s="59" t="s">
        <v>79</v>
      </c>
      <c r="JJR68" s="59" t="s">
        <v>80</v>
      </c>
      <c r="JJS68" s="59" t="s">
        <v>81</v>
      </c>
      <c r="JJT68" s="59" t="s">
        <v>64</v>
      </c>
      <c r="JJU68" s="59" t="s">
        <v>98</v>
      </c>
      <c r="JJV68" s="59" t="s">
        <v>124</v>
      </c>
      <c r="JJW68" s="59" t="s">
        <v>101</v>
      </c>
      <c r="JJX68" s="56"/>
      <c r="JJY68" s="57"/>
      <c r="JJZ68" s="57"/>
      <c r="JKA68" s="57"/>
      <c r="JKB68" s="57"/>
      <c r="JKC68" s="57"/>
      <c r="JKD68" s="57"/>
      <c r="JKE68" s="59" t="s">
        <v>77</v>
      </c>
      <c r="JKF68" s="59" t="s">
        <v>78</v>
      </c>
      <c r="JKG68" s="59" t="s">
        <v>79</v>
      </c>
      <c r="JKH68" s="59" t="s">
        <v>80</v>
      </c>
      <c r="JKI68" s="59" t="s">
        <v>81</v>
      </c>
      <c r="JKJ68" s="59" t="s">
        <v>64</v>
      </c>
      <c r="JKK68" s="59" t="s">
        <v>98</v>
      </c>
      <c r="JKL68" s="59" t="s">
        <v>124</v>
      </c>
      <c r="JKM68" s="59" t="s">
        <v>101</v>
      </c>
      <c r="JKN68" s="56"/>
      <c r="JKO68" s="57"/>
      <c r="JKP68" s="57"/>
      <c r="JKQ68" s="57"/>
      <c r="JKR68" s="57"/>
      <c r="JKS68" s="57"/>
      <c r="JKT68" s="57"/>
      <c r="JKU68" s="59" t="s">
        <v>77</v>
      </c>
      <c r="JKV68" s="59" t="s">
        <v>78</v>
      </c>
      <c r="JKW68" s="59" t="s">
        <v>79</v>
      </c>
      <c r="JKX68" s="59" t="s">
        <v>80</v>
      </c>
      <c r="JKY68" s="59" t="s">
        <v>81</v>
      </c>
      <c r="JKZ68" s="59" t="s">
        <v>64</v>
      </c>
      <c r="JLA68" s="59" t="s">
        <v>98</v>
      </c>
      <c r="JLB68" s="59" t="s">
        <v>124</v>
      </c>
      <c r="JLC68" s="59" t="s">
        <v>101</v>
      </c>
      <c r="JLD68" s="56"/>
      <c r="JLE68" s="57"/>
      <c r="JLF68" s="57"/>
      <c r="JLG68" s="57"/>
      <c r="JLH68" s="57"/>
      <c r="JLI68" s="57"/>
      <c r="JLJ68" s="57"/>
      <c r="JLK68" s="59" t="s">
        <v>77</v>
      </c>
      <c r="JLL68" s="59" t="s">
        <v>78</v>
      </c>
      <c r="JLM68" s="59" t="s">
        <v>79</v>
      </c>
      <c r="JLN68" s="59" t="s">
        <v>80</v>
      </c>
      <c r="JLO68" s="59" t="s">
        <v>81</v>
      </c>
      <c r="JLP68" s="59" t="s">
        <v>64</v>
      </c>
      <c r="JLQ68" s="59" t="s">
        <v>98</v>
      </c>
      <c r="JLR68" s="59" t="s">
        <v>124</v>
      </c>
      <c r="JLS68" s="59" t="s">
        <v>101</v>
      </c>
      <c r="JLT68" s="56"/>
      <c r="JLU68" s="57"/>
      <c r="JLV68" s="57"/>
      <c r="JLW68" s="57"/>
      <c r="JLX68" s="57"/>
      <c r="JLY68" s="57"/>
      <c r="JLZ68" s="57"/>
      <c r="JMA68" s="59" t="s">
        <v>77</v>
      </c>
      <c r="JMB68" s="59" t="s">
        <v>78</v>
      </c>
      <c r="JMC68" s="59" t="s">
        <v>79</v>
      </c>
      <c r="JMD68" s="59" t="s">
        <v>80</v>
      </c>
      <c r="JME68" s="59" t="s">
        <v>81</v>
      </c>
      <c r="JMF68" s="59" t="s">
        <v>64</v>
      </c>
      <c r="JMG68" s="59" t="s">
        <v>98</v>
      </c>
      <c r="JMH68" s="59" t="s">
        <v>124</v>
      </c>
      <c r="JMI68" s="59" t="s">
        <v>101</v>
      </c>
      <c r="JMJ68" s="56"/>
      <c r="JMK68" s="57"/>
      <c r="JML68" s="57"/>
      <c r="JMM68" s="57"/>
      <c r="JMN68" s="57"/>
      <c r="JMO68" s="57"/>
      <c r="JMP68" s="57"/>
      <c r="JMQ68" s="59" t="s">
        <v>77</v>
      </c>
      <c r="JMR68" s="59" t="s">
        <v>78</v>
      </c>
      <c r="JMS68" s="59" t="s">
        <v>79</v>
      </c>
      <c r="JMT68" s="59" t="s">
        <v>80</v>
      </c>
      <c r="JMU68" s="59" t="s">
        <v>81</v>
      </c>
      <c r="JMV68" s="59" t="s">
        <v>64</v>
      </c>
      <c r="JMW68" s="59" t="s">
        <v>98</v>
      </c>
      <c r="JMX68" s="59" t="s">
        <v>124</v>
      </c>
      <c r="JMY68" s="59" t="s">
        <v>101</v>
      </c>
      <c r="JMZ68" s="56"/>
      <c r="JNA68" s="57"/>
      <c r="JNB68" s="57"/>
      <c r="JNC68" s="57"/>
      <c r="JND68" s="57"/>
      <c r="JNE68" s="57"/>
      <c r="JNF68" s="57"/>
      <c r="JNG68" s="59" t="s">
        <v>77</v>
      </c>
      <c r="JNH68" s="59" t="s">
        <v>78</v>
      </c>
      <c r="JNI68" s="59" t="s">
        <v>79</v>
      </c>
      <c r="JNJ68" s="59" t="s">
        <v>80</v>
      </c>
      <c r="JNK68" s="59" t="s">
        <v>81</v>
      </c>
      <c r="JNL68" s="59" t="s">
        <v>64</v>
      </c>
      <c r="JNM68" s="59" t="s">
        <v>98</v>
      </c>
      <c r="JNN68" s="59" t="s">
        <v>124</v>
      </c>
      <c r="JNO68" s="59" t="s">
        <v>101</v>
      </c>
      <c r="JNP68" s="56"/>
      <c r="JNQ68" s="57"/>
      <c r="JNR68" s="57"/>
      <c r="JNS68" s="57"/>
      <c r="JNT68" s="57"/>
      <c r="JNU68" s="57"/>
      <c r="JNV68" s="57"/>
      <c r="JNW68" s="59" t="s">
        <v>77</v>
      </c>
      <c r="JNX68" s="59" t="s">
        <v>78</v>
      </c>
      <c r="JNY68" s="59" t="s">
        <v>79</v>
      </c>
      <c r="JNZ68" s="59" t="s">
        <v>80</v>
      </c>
      <c r="JOA68" s="59" t="s">
        <v>81</v>
      </c>
      <c r="JOB68" s="59" t="s">
        <v>64</v>
      </c>
      <c r="JOC68" s="59" t="s">
        <v>98</v>
      </c>
      <c r="JOD68" s="59" t="s">
        <v>124</v>
      </c>
      <c r="JOE68" s="59" t="s">
        <v>101</v>
      </c>
      <c r="JOF68" s="56"/>
      <c r="JOG68" s="57"/>
      <c r="JOH68" s="57"/>
      <c r="JOI68" s="57"/>
      <c r="JOJ68" s="57"/>
      <c r="JOK68" s="57"/>
      <c r="JOL68" s="57"/>
      <c r="JOM68" s="59" t="s">
        <v>77</v>
      </c>
      <c r="JON68" s="59" t="s">
        <v>78</v>
      </c>
      <c r="JOO68" s="59" t="s">
        <v>79</v>
      </c>
      <c r="JOP68" s="59" t="s">
        <v>80</v>
      </c>
      <c r="JOQ68" s="59" t="s">
        <v>81</v>
      </c>
      <c r="JOR68" s="59" t="s">
        <v>64</v>
      </c>
      <c r="JOS68" s="59" t="s">
        <v>98</v>
      </c>
      <c r="JOT68" s="59" t="s">
        <v>124</v>
      </c>
      <c r="JOU68" s="59" t="s">
        <v>101</v>
      </c>
      <c r="JOV68" s="56"/>
      <c r="JOW68" s="57"/>
      <c r="JOX68" s="57"/>
      <c r="JOY68" s="57"/>
      <c r="JOZ68" s="57"/>
      <c r="JPA68" s="57"/>
      <c r="JPB68" s="57"/>
      <c r="JPC68" s="59" t="s">
        <v>77</v>
      </c>
      <c r="JPD68" s="59" t="s">
        <v>78</v>
      </c>
      <c r="JPE68" s="59" t="s">
        <v>79</v>
      </c>
      <c r="JPF68" s="59" t="s">
        <v>80</v>
      </c>
      <c r="JPG68" s="59" t="s">
        <v>81</v>
      </c>
      <c r="JPH68" s="59" t="s">
        <v>64</v>
      </c>
      <c r="JPI68" s="59" t="s">
        <v>98</v>
      </c>
      <c r="JPJ68" s="59" t="s">
        <v>124</v>
      </c>
      <c r="JPK68" s="59" t="s">
        <v>101</v>
      </c>
      <c r="JPL68" s="56"/>
      <c r="JPM68" s="57"/>
      <c r="JPN68" s="57"/>
      <c r="JPO68" s="57"/>
      <c r="JPP68" s="57"/>
      <c r="JPQ68" s="57"/>
      <c r="JPR68" s="57"/>
      <c r="JPS68" s="59" t="s">
        <v>77</v>
      </c>
      <c r="JPT68" s="59" t="s">
        <v>78</v>
      </c>
      <c r="JPU68" s="59" t="s">
        <v>79</v>
      </c>
      <c r="JPV68" s="59" t="s">
        <v>80</v>
      </c>
      <c r="JPW68" s="59" t="s">
        <v>81</v>
      </c>
      <c r="JPX68" s="59" t="s">
        <v>64</v>
      </c>
      <c r="JPY68" s="59" t="s">
        <v>98</v>
      </c>
      <c r="JPZ68" s="59" t="s">
        <v>124</v>
      </c>
      <c r="JQA68" s="59" t="s">
        <v>101</v>
      </c>
      <c r="JQB68" s="56"/>
      <c r="JQC68" s="57"/>
      <c r="JQD68" s="57"/>
      <c r="JQE68" s="57"/>
      <c r="JQF68" s="57"/>
      <c r="JQG68" s="57"/>
      <c r="JQH68" s="57"/>
      <c r="JQI68" s="59" t="s">
        <v>77</v>
      </c>
      <c r="JQJ68" s="59" t="s">
        <v>78</v>
      </c>
      <c r="JQK68" s="59" t="s">
        <v>79</v>
      </c>
      <c r="JQL68" s="59" t="s">
        <v>80</v>
      </c>
      <c r="JQM68" s="59" t="s">
        <v>81</v>
      </c>
      <c r="JQN68" s="59" t="s">
        <v>64</v>
      </c>
      <c r="JQO68" s="59" t="s">
        <v>98</v>
      </c>
      <c r="JQP68" s="59" t="s">
        <v>124</v>
      </c>
      <c r="JQQ68" s="59" t="s">
        <v>101</v>
      </c>
      <c r="JQR68" s="56"/>
      <c r="JQS68" s="57"/>
      <c r="JQT68" s="57"/>
      <c r="JQU68" s="57"/>
      <c r="JQV68" s="57"/>
      <c r="JQW68" s="57"/>
      <c r="JQX68" s="57"/>
      <c r="JQY68" s="59" t="s">
        <v>77</v>
      </c>
      <c r="JQZ68" s="59" t="s">
        <v>78</v>
      </c>
      <c r="JRA68" s="59" t="s">
        <v>79</v>
      </c>
      <c r="JRB68" s="59" t="s">
        <v>80</v>
      </c>
      <c r="JRC68" s="59" t="s">
        <v>81</v>
      </c>
      <c r="JRD68" s="59" t="s">
        <v>64</v>
      </c>
      <c r="JRE68" s="59" t="s">
        <v>98</v>
      </c>
      <c r="JRF68" s="59" t="s">
        <v>124</v>
      </c>
      <c r="JRG68" s="59" t="s">
        <v>101</v>
      </c>
      <c r="JRH68" s="56"/>
      <c r="JRI68" s="57"/>
      <c r="JRJ68" s="57"/>
      <c r="JRK68" s="57"/>
      <c r="JRL68" s="57"/>
      <c r="JRM68" s="57"/>
      <c r="JRN68" s="57"/>
      <c r="JRO68" s="59" t="s">
        <v>77</v>
      </c>
      <c r="JRP68" s="59" t="s">
        <v>78</v>
      </c>
      <c r="JRQ68" s="59" t="s">
        <v>79</v>
      </c>
      <c r="JRR68" s="59" t="s">
        <v>80</v>
      </c>
      <c r="JRS68" s="59" t="s">
        <v>81</v>
      </c>
      <c r="JRT68" s="59" t="s">
        <v>64</v>
      </c>
      <c r="JRU68" s="59" t="s">
        <v>98</v>
      </c>
      <c r="JRV68" s="59" t="s">
        <v>124</v>
      </c>
      <c r="JRW68" s="59" t="s">
        <v>101</v>
      </c>
      <c r="JRX68" s="56"/>
      <c r="JRY68" s="57"/>
      <c r="JRZ68" s="57"/>
      <c r="JSA68" s="57"/>
      <c r="JSB68" s="57"/>
      <c r="JSC68" s="57"/>
      <c r="JSD68" s="57"/>
      <c r="JSE68" s="59" t="s">
        <v>77</v>
      </c>
      <c r="JSF68" s="59" t="s">
        <v>78</v>
      </c>
      <c r="JSG68" s="59" t="s">
        <v>79</v>
      </c>
      <c r="JSH68" s="59" t="s">
        <v>80</v>
      </c>
      <c r="JSI68" s="59" t="s">
        <v>81</v>
      </c>
      <c r="JSJ68" s="59" t="s">
        <v>64</v>
      </c>
      <c r="JSK68" s="59" t="s">
        <v>98</v>
      </c>
      <c r="JSL68" s="59" t="s">
        <v>124</v>
      </c>
      <c r="JSM68" s="59" t="s">
        <v>101</v>
      </c>
      <c r="JSN68" s="56"/>
      <c r="JSO68" s="57"/>
      <c r="JSP68" s="57"/>
      <c r="JSQ68" s="57"/>
      <c r="JSR68" s="57"/>
      <c r="JSS68" s="57"/>
      <c r="JST68" s="57"/>
      <c r="JSU68" s="59" t="s">
        <v>77</v>
      </c>
      <c r="JSV68" s="59" t="s">
        <v>78</v>
      </c>
      <c r="JSW68" s="59" t="s">
        <v>79</v>
      </c>
      <c r="JSX68" s="59" t="s">
        <v>80</v>
      </c>
      <c r="JSY68" s="59" t="s">
        <v>81</v>
      </c>
      <c r="JSZ68" s="59" t="s">
        <v>64</v>
      </c>
      <c r="JTA68" s="59" t="s">
        <v>98</v>
      </c>
      <c r="JTB68" s="59" t="s">
        <v>124</v>
      </c>
      <c r="JTC68" s="59" t="s">
        <v>101</v>
      </c>
      <c r="JTD68" s="56"/>
      <c r="JTE68" s="57"/>
      <c r="JTF68" s="57"/>
      <c r="JTG68" s="57"/>
      <c r="JTH68" s="57"/>
      <c r="JTI68" s="57"/>
      <c r="JTJ68" s="57"/>
      <c r="JTK68" s="59" t="s">
        <v>77</v>
      </c>
      <c r="JTL68" s="59" t="s">
        <v>78</v>
      </c>
      <c r="JTM68" s="59" t="s">
        <v>79</v>
      </c>
      <c r="JTN68" s="59" t="s">
        <v>80</v>
      </c>
      <c r="JTO68" s="59" t="s">
        <v>81</v>
      </c>
      <c r="JTP68" s="59" t="s">
        <v>64</v>
      </c>
      <c r="JTQ68" s="59" t="s">
        <v>98</v>
      </c>
      <c r="JTR68" s="59" t="s">
        <v>124</v>
      </c>
      <c r="JTS68" s="59" t="s">
        <v>101</v>
      </c>
      <c r="JTT68" s="56"/>
      <c r="JTU68" s="57"/>
      <c r="JTV68" s="57"/>
      <c r="JTW68" s="57"/>
      <c r="JTX68" s="57"/>
      <c r="JTY68" s="57"/>
      <c r="JTZ68" s="57"/>
      <c r="JUA68" s="59" t="s">
        <v>77</v>
      </c>
      <c r="JUB68" s="59" t="s">
        <v>78</v>
      </c>
      <c r="JUC68" s="59" t="s">
        <v>79</v>
      </c>
      <c r="JUD68" s="59" t="s">
        <v>80</v>
      </c>
      <c r="JUE68" s="59" t="s">
        <v>81</v>
      </c>
      <c r="JUF68" s="59" t="s">
        <v>64</v>
      </c>
      <c r="JUG68" s="59" t="s">
        <v>98</v>
      </c>
      <c r="JUH68" s="59" t="s">
        <v>124</v>
      </c>
      <c r="JUI68" s="59" t="s">
        <v>101</v>
      </c>
      <c r="JUJ68" s="56"/>
      <c r="JUK68" s="57"/>
      <c r="JUL68" s="57"/>
      <c r="JUM68" s="57"/>
      <c r="JUN68" s="57"/>
      <c r="JUO68" s="57"/>
      <c r="JUP68" s="57"/>
      <c r="JUQ68" s="59" t="s">
        <v>77</v>
      </c>
      <c r="JUR68" s="59" t="s">
        <v>78</v>
      </c>
      <c r="JUS68" s="59" t="s">
        <v>79</v>
      </c>
      <c r="JUT68" s="59" t="s">
        <v>80</v>
      </c>
      <c r="JUU68" s="59" t="s">
        <v>81</v>
      </c>
      <c r="JUV68" s="59" t="s">
        <v>64</v>
      </c>
      <c r="JUW68" s="59" t="s">
        <v>98</v>
      </c>
      <c r="JUX68" s="59" t="s">
        <v>124</v>
      </c>
      <c r="JUY68" s="59" t="s">
        <v>101</v>
      </c>
      <c r="JUZ68" s="56"/>
      <c r="JVA68" s="57"/>
      <c r="JVB68" s="57"/>
      <c r="JVC68" s="57"/>
      <c r="JVD68" s="57"/>
      <c r="JVE68" s="57"/>
      <c r="JVF68" s="57"/>
      <c r="JVG68" s="59" t="s">
        <v>77</v>
      </c>
      <c r="JVH68" s="59" t="s">
        <v>78</v>
      </c>
      <c r="JVI68" s="59" t="s">
        <v>79</v>
      </c>
      <c r="JVJ68" s="59" t="s">
        <v>80</v>
      </c>
      <c r="JVK68" s="59" t="s">
        <v>81</v>
      </c>
      <c r="JVL68" s="59" t="s">
        <v>64</v>
      </c>
      <c r="JVM68" s="59" t="s">
        <v>98</v>
      </c>
      <c r="JVN68" s="59" t="s">
        <v>124</v>
      </c>
      <c r="JVO68" s="59" t="s">
        <v>101</v>
      </c>
      <c r="JVP68" s="56"/>
      <c r="JVQ68" s="57"/>
      <c r="JVR68" s="57"/>
      <c r="JVS68" s="57"/>
      <c r="JVT68" s="57"/>
      <c r="JVU68" s="57"/>
      <c r="JVV68" s="57"/>
      <c r="JVW68" s="59" t="s">
        <v>77</v>
      </c>
      <c r="JVX68" s="59" t="s">
        <v>78</v>
      </c>
      <c r="JVY68" s="59" t="s">
        <v>79</v>
      </c>
      <c r="JVZ68" s="59" t="s">
        <v>80</v>
      </c>
      <c r="JWA68" s="59" t="s">
        <v>81</v>
      </c>
      <c r="JWB68" s="59" t="s">
        <v>64</v>
      </c>
      <c r="JWC68" s="59" t="s">
        <v>98</v>
      </c>
      <c r="JWD68" s="59" t="s">
        <v>124</v>
      </c>
      <c r="JWE68" s="59" t="s">
        <v>101</v>
      </c>
      <c r="JWF68" s="56"/>
      <c r="JWG68" s="57"/>
      <c r="JWH68" s="57"/>
      <c r="JWI68" s="57"/>
      <c r="JWJ68" s="57"/>
      <c r="JWK68" s="57"/>
      <c r="JWL68" s="57"/>
      <c r="JWM68" s="59" t="s">
        <v>77</v>
      </c>
      <c r="JWN68" s="59" t="s">
        <v>78</v>
      </c>
      <c r="JWO68" s="59" t="s">
        <v>79</v>
      </c>
      <c r="JWP68" s="59" t="s">
        <v>80</v>
      </c>
      <c r="JWQ68" s="59" t="s">
        <v>81</v>
      </c>
      <c r="JWR68" s="59" t="s">
        <v>64</v>
      </c>
      <c r="JWS68" s="59" t="s">
        <v>98</v>
      </c>
      <c r="JWT68" s="59" t="s">
        <v>124</v>
      </c>
      <c r="JWU68" s="59" t="s">
        <v>101</v>
      </c>
      <c r="JWV68" s="56"/>
      <c r="JWW68" s="57"/>
      <c r="JWX68" s="57"/>
      <c r="JWY68" s="57"/>
      <c r="JWZ68" s="57"/>
      <c r="JXA68" s="57"/>
      <c r="JXB68" s="57"/>
      <c r="JXC68" s="59" t="s">
        <v>77</v>
      </c>
      <c r="JXD68" s="59" t="s">
        <v>78</v>
      </c>
      <c r="JXE68" s="59" t="s">
        <v>79</v>
      </c>
      <c r="JXF68" s="59" t="s">
        <v>80</v>
      </c>
      <c r="JXG68" s="59" t="s">
        <v>81</v>
      </c>
      <c r="JXH68" s="59" t="s">
        <v>64</v>
      </c>
      <c r="JXI68" s="59" t="s">
        <v>98</v>
      </c>
      <c r="JXJ68" s="59" t="s">
        <v>124</v>
      </c>
      <c r="JXK68" s="59" t="s">
        <v>101</v>
      </c>
      <c r="JXL68" s="56"/>
      <c r="JXM68" s="57"/>
      <c r="JXN68" s="57"/>
      <c r="JXO68" s="57"/>
      <c r="JXP68" s="57"/>
      <c r="JXQ68" s="57"/>
      <c r="JXR68" s="57"/>
      <c r="JXS68" s="59" t="s">
        <v>77</v>
      </c>
      <c r="JXT68" s="59" t="s">
        <v>78</v>
      </c>
      <c r="JXU68" s="59" t="s">
        <v>79</v>
      </c>
      <c r="JXV68" s="59" t="s">
        <v>80</v>
      </c>
      <c r="JXW68" s="59" t="s">
        <v>81</v>
      </c>
      <c r="JXX68" s="59" t="s">
        <v>64</v>
      </c>
      <c r="JXY68" s="59" t="s">
        <v>98</v>
      </c>
      <c r="JXZ68" s="59" t="s">
        <v>124</v>
      </c>
      <c r="JYA68" s="59" t="s">
        <v>101</v>
      </c>
      <c r="JYB68" s="56"/>
      <c r="JYC68" s="57"/>
      <c r="JYD68" s="57"/>
      <c r="JYE68" s="57"/>
      <c r="JYF68" s="57"/>
      <c r="JYG68" s="57"/>
      <c r="JYH68" s="57"/>
      <c r="JYI68" s="59" t="s">
        <v>77</v>
      </c>
      <c r="JYJ68" s="59" t="s">
        <v>78</v>
      </c>
      <c r="JYK68" s="59" t="s">
        <v>79</v>
      </c>
      <c r="JYL68" s="59" t="s">
        <v>80</v>
      </c>
      <c r="JYM68" s="59" t="s">
        <v>81</v>
      </c>
      <c r="JYN68" s="59" t="s">
        <v>64</v>
      </c>
      <c r="JYO68" s="59" t="s">
        <v>98</v>
      </c>
      <c r="JYP68" s="59" t="s">
        <v>124</v>
      </c>
      <c r="JYQ68" s="59" t="s">
        <v>101</v>
      </c>
      <c r="JYR68" s="56"/>
      <c r="JYS68" s="57"/>
      <c r="JYT68" s="57"/>
      <c r="JYU68" s="57"/>
      <c r="JYV68" s="57"/>
      <c r="JYW68" s="57"/>
      <c r="JYX68" s="57"/>
      <c r="JYY68" s="59" t="s">
        <v>77</v>
      </c>
      <c r="JYZ68" s="59" t="s">
        <v>78</v>
      </c>
      <c r="JZA68" s="59" t="s">
        <v>79</v>
      </c>
      <c r="JZB68" s="59" t="s">
        <v>80</v>
      </c>
      <c r="JZC68" s="59" t="s">
        <v>81</v>
      </c>
      <c r="JZD68" s="59" t="s">
        <v>64</v>
      </c>
      <c r="JZE68" s="59" t="s">
        <v>98</v>
      </c>
      <c r="JZF68" s="59" t="s">
        <v>124</v>
      </c>
      <c r="JZG68" s="59" t="s">
        <v>101</v>
      </c>
      <c r="JZH68" s="56"/>
      <c r="JZI68" s="57"/>
      <c r="JZJ68" s="57"/>
      <c r="JZK68" s="57"/>
      <c r="JZL68" s="57"/>
      <c r="JZM68" s="57"/>
      <c r="JZN68" s="57"/>
      <c r="JZO68" s="59" t="s">
        <v>77</v>
      </c>
      <c r="JZP68" s="59" t="s">
        <v>78</v>
      </c>
      <c r="JZQ68" s="59" t="s">
        <v>79</v>
      </c>
      <c r="JZR68" s="59" t="s">
        <v>80</v>
      </c>
      <c r="JZS68" s="59" t="s">
        <v>81</v>
      </c>
      <c r="JZT68" s="59" t="s">
        <v>64</v>
      </c>
      <c r="JZU68" s="59" t="s">
        <v>98</v>
      </c>
      <c r="JZV68" s="59" t="s">
        <v>124</v>
      </c>
      <c r="JZW68" s="59" t="s">
        <v>101</v>
      </c>
      <c r="JZX68" s="56"/>
      <c r="JZY68" s="57"/>
      <c r="JZZ68" s="57"/>
      <c r="KAA68" s="57"/>
      <c r="KAB68" s="57"/>
      <c r="KAC68" s="57"/>
      <c r="KAD68" s="57"/>
      <c r="KAE68" s="59" t="s">
        <v>77</v>
      </c>
      <c r="KAF68" s="59" t="s">
        <v>78</v>
      </c>
      <c r="KAG68" s="59" t="s">
        <v>79</v>
      </c>
      <c r="KAH68" s="59" t="s">
        <v>80</v>
      </c>
      <c r="KAI68" s="59" t="s">
        <v>81</v>
      </c>
      <c r="KAJ68" s="59" t="s">
        <v>64</v>
      </c>
      <c r="KAK68" s="59" t="s">
        <v>98</v>
      </c>
      <c r="KAL68" s="59" t="s">
        <v>124</v>
      </c>
      <c r="KAM68" s="59" t="s">
        <v>101</v>
      </c>
      <c r="KAN68" s="56"/>
      <c r="KAO68" s="57"/>
      <c r="KAP68" s="57"/>
      <c r="KAQ68" s="57"/>
      <c r="KAR68" s="57"/>
      <c r="KAS68" s="57"/>
      <c r="KAT68" s="57"/>
      <c r="KAU68" s="59" t="s">
        <v>77</v>
      </c>
      <c r="KAV68" s="59" t="s">
        <v>78</v>
      </c>
      <c r="KAW68" s="59" t="s">
        <v>79</v>
      </c>
      <c r="KAX68" s="59" t="s">
        <v>80</v>
      </c>
      <c r="KAY68" s="59" t="s">
        <v>81</v>
      </c>
      <c r="KAZ68" s="59" t="s">
        <v>64</v>
      </c>
      <c r="KBA68" s="59" t="s">
        <v>98</v>
      </c>
      <c r="KBB68" s="59" t="s">
        <v>124</v>
      </c>
      <c r="KBC68" s="59" t="s">
        <v>101</v>
      </c>
      <c r="KBD68" s="56"/>
      <c r="KBE68" s="57"/>
      <c r="KBF68" s="57"/>
      <c r="KBG68" s="57"/>
      <c r="KBH68" s="57"/>
      <c r="KBI68" s="57"/>
      <c r="KBJ68" s="57"/>
      <c r="KBK68" s="59" t="s">
        <v>77</v>
      </c>
      <c r="KBL68" s="59" t="s">
        <v>78</v>
      </c>
      <c r="KBM68" s="59" t="s">
        <v>79</v>
      </c>
      <c r="KBN68" s="59" t="s">
        <v>80</v>
      </c>
      <c r="KBO68" s="59" t="s">
        <v>81</v>
      </c>
      <c r="KBP68" s="59" t="s">
        <v>64</v>
      </c>
      <c r="KBQ68" s="59" t="s">
        <v>98</v>
      </c>
      <c r="KBR68" s="59" t="s">
        <v>124</v>
      </c>
      <c r="KBS68" s="59" t="s">
        <v>101</v>
      </c>
      <c r="KBT68" s="56"/>
      <c r="KBU68" s="57"/>
      <c r="KBV68" s="57"/>
      <c r="KBW68" s="57"/>
      <c r="KBX68" s="57"/>
      <c r="KBY68" s="57"/>
      <c r="KBZ68" s="57"/>
      <c r="KCA68" s="59" t="s">
        <v>77</v>
      </c>
      <c r="KCB68" s="59" t="s">
        <v>78</v>
      </c>
      <c r="KCC68" s="59" t="s">
        <v>79</v>
      </c>
      <c r="KCD68" s="59" t="s">
        <v>80</v>
      </c>
      <c r="KCE68" s="59" t="s">
        <v>81</v>
      </c>
      <c r="KCF68" s="59" t="s">
        <v>64</v>
      </c>
      <c r="KCG68" s="59" t="s">
        <v>98</v>
      </c>
      <c r="KCH68" s="59" t="s">
        <v>124</v>
      </c>
      <c r="KCI68" s="59" t="s">
        <v>101</v>
      </c>
      <c r="KCJ68" s="56"/>
      <c r="KCK68" s="57"/>
      <c r="KCL68" s="57"/>
      <c r="KCM68" s="57"/>
      <c r="KCN68" s="57"/>
      <c r="KCO68" s="57"/>
      <c r="KCP68" s="57"/>
      <c r="KCQ68" s="59" t="s">
        <v>77</v>
      </c>
      <c r="KCR68" s="59" t="s">
        <v>78</v>
      </c>
      <c r="KCS68" s="59" t="s">
        <v>79</v>
      </c>
      <c r="KCT68" s="59" t="s">
        <v>80</v>
      </c>
      <c r="KCU68" s="59" t="s">
        <v>81</v>
      </c>
      <c r="KCV68" s="59" t="s">
        <v>64</v>
      </c>
      <c r="KCW68" s="59" t="s">
        <v>98</v>
      </c>
      <c r="KCX68" s="59" t="s">
        <v>124</v>
      </c>
      <c r="KCY68" s="59" t="s">
        <v>101</v>
      </c>
      <c r="KCZ68" s="56"/>
      <c r="KDA68" s="57"/>
      <c r="KDB68" s="57"/>
      <c r="KDC68" s="57"/>
      <c r="KDD68" s="57"/>
      <c r="KDE68" s="57"/>
      <c r="KDF68" s="57"/>
      <c r="KDG68" s="59" t="s">
        <v>77</v>
      </c>
      <c r="KDH68" s="59" t="s">
        <v>78</v>
      </c>
      <c r="KDI68" s="59" t="s">
        <v>79</v>
      </c>
      <c r="KDJ68" s="59" t="s">
        <v>80</v>
      </c>
      <c r="KDK68" s="59" t="s">
        <v>81</v>
      </c>
      <c r="KDL68" s="59" t="s">
        <v>64</v>
      </c>
      <c r="KDM68" s="59" t="s">
        <v>98</v>
      </c>
      <c r="KDN68" s="59" t="s">
        <v>124</v>
      </c>
      <c r="KDO68" s="59" t="s">
        <v>101</v>
      </c>
      <c r="KDP68" s="56"/>
      <c r="KDQ68" s="57"/>
      <c r="KDR68" s="57"/>
      <c r="KDS68" s="57"/>
      <c r="KDT68" s="57"/>
      <c r="KDU68" s="57"/>
      <c r="KDV68" s="57"/>
      <c r="KDW68" s="59" t="s">
        <v>77</v>
      </c>
      <c r="KDX68" s="59" t="s">
        <v>78</v>
      </c>
      <c r="KDY68" s="59" t="s">
        <v>79</v>
      </c>
      <c r="KDZ68" s="59" t="s">
        <v>80</v>
      </c>
      <c r="KEA68" s="59" t="s">
        <v>81</v>
      </c>
      <c r="KEB68" s="59" t="s">
        <v>64</v>
      </c>
      <c r="KEC68" s="59" t="s">
        <v>98</v>
      </c>
      <c r="KED68" s="59" t="s">
        <v>124</v>
      </c>
      <c r="KEE68" s="59" t="s">
        <v>101</v>
      </c>
      <c r="KEF68" s="56"/>
      <c r="KEG68" s="57"/>
      <c r="KEH68" s="57"/>
      <c r="KEI68" s="57"/>
      <c r="KEJ68" s="57"/>
      <c r="KEK68" s="57"/>
      <c r="KEL68" s="57"/>
      <c r="KEM68" s="59" t="s">
        <v>77</v>
      </c>
      <c r="KEN68" s="59" t="s">
        <v>78</v>
      </c>
      <c r="KEO68" s="59" t="s">
        <v>79</v>
      </c>
      <c r="KEP68" s="59" t="s">
        <v>80</v>
      </c>
      <c r="KEQ68" s="59" t="s">
        <v>81</v>
      </c>
      <c r="KER68" s="59" t="s">
        <v>64</v>
      </c>
      <c r="KES68" s="59" t="s">
        <v>98</v>
      </c>
      <c r="KET68" s="59" t="s">
        <v>124</v>
      </c>
      <c r="KEU68" s="59" t="s">
        <v>101</v>
      </c>
      <c r="KEV68" s="56"/>
      <c r="KEW68" s="57"/>
      <c r="KEX68" s="57"/>
      <c r="KEY68" s="57"/>
      <c r="KEZ68" s="57"/>
      <c r="KFA68" s="57"/>
      <c r="KFB68" s="57"/>
      <c r="KFC68" s="59" t="s">
        <v>77</v>
      </c>
      <c r="KFD68" s="59" t="s">
        <v>78</v>
      </c>
      <c r="KFE68" s="59" t="s">
        <v>79</v>
      </c>
      <c r="KFF68" s="59" t="s">
        <v>80</v>
      </c>
      <c r="KFG68" s="59" t="s">
        <v>81</v>
      </c>
      <c r="KFH68" s="59" t="s">
        <v>64</v>
      </c>
      <c r="KFI68" s="59" t="s">
        <v>98</v>
      </c>
      <c r="KFJ68" s="59" t="s">
        <v>124</v>
      </c>
      <c r="KFK68" s="59" t="s">
        <v>101</v>
      </c>
      <c r="KFL68" s="56"/>
      <c r="KFM68" s="57"/>
      <c r="KFN68" s="57"/>
      <c r="KFO68" s="57"/>
      <c r="KFP68" s="57"/>
      <c r="KFQ68" s="57"/>
      <c r="KFR68" s="57"/>
      <c r="KFS68" s="59" t="s">
        <v>77</v>
      </c>
      <c r="KFT68" s="59" t="s">
        <v>78</v>
      </c>
      <c r="KFU68" s="59" t="s">
        <v>79</v>
      </c>
      <c r="KFV68" s="59" t="s">
        <v>80</v>
      </c>
      <c r="KFW68" s="59" t="s">
        <v>81</v>
      </c>
      <c r="KFX68" s="59" t="s">
        <v>64</v>
      </c>
      <c r="KFY68" s="59" t="s">
        <v>98</v>
      </c>
      <c r="KFZ68" s="59" t="s">
        <v>124</v>
      </c>
      <c r="KGA68" s="59" t="s">
        <v>101</v>
      </c>
      <c r="KGB68" s="56"/>
      <c r="KGC68" s="57"/>
      <c r="KGD68" s="57"/>
      <c r="KGE68" s="57"/>
      <c r="KGF68" s="57"/>
      <c r="KGG68" s="57"/>
      <c r="KGH68" s="57"/>
      <c r="KGI68" s="59" t="s">
        <v>77</v>
      </c>
      <c r="KGJ68" s="59" t="s">
        <v>78</v>
      </c>
      <c r="KGK68" s="59" t="s">
        <v>79</v>
      </c>
      <c r="KGL68" s="59" t="s">
        <v>80</v>
      </c>
      <c r="KGM68" s="59" t="s">
        <v>81</v>
      </c>
      <c r="KGN68" s="59" t="s">
        <v>64</v>
      </c>
      <c r="KGO68" s="59" t="s">
        <v>98</v>
      </c>
      <c r="KGP68" s="59" t="s">
        <v>124</v>
      </c>
      <c r="KGQ68" s="59" t="s">
        <v>101</v>
      </c>
      <c r="KGR68" s="56"/>
      <c r="KGS68" s="57"/>
      <c r="KGT68" s="57"/>
      <c r="KGU68" s="57"/>
      <c r="KGV68" s="57"/>
      <c r="KGW68" s="57"/>
      <c r="KGX68" s="57"/>
      <c r="KGY68" s="59" t="s">
        <v>77</v>
      </c>
      <c r="KGZ68" s="59" t="s">
        <v>78</v>
      </c>
      <c r="KHA68" s="59" t="s">
        <v>79</v>
      </c>
      <c r="KHB68" s="59" t="s">
        <v>80</v>
      </c>
      <c r="KHC68" s="59" t="s">
        <v>81</v>
      </c>
      <c r="KHD68" s="59" t="s">
        <v>64</v>
      </c>
      <c r="KHE68" s="59" t="s">
        <v>98</v>
      </c>
      <c r="KHF68" s="59" t="s">
        <v>124</v>
      </c>
      <c r="KHG68" s="59" t="s">
        <v>101</v>
      </c>
      <c r="KHH68" s="56"/>
      <c r="KHI68" s="57"/>
      <c r="KHJ68" s="57"/>
      <c r="KHK68" s="57"/>
      <c r="KHL68" s="57"/>
      <c r="KHM68" s="57"/>
      <c r="KHN68" s="57"/>
      <c r="KHO68" s="59" t="s">
        <v>77</v>
      </c>
      <c r="KHP68" s="59" t="s">
        <v>78</v>
      </c>
      <c r="KHQ68" s="59" t="s">
        <v>79</v>
      </c>
      <c r="KHR68" s="59" t="s">
        <v>80</v>
      </c>
      <c r="KHS68" s="59" t="s">
        <v>81</v>
      </c>
      <c r="KHT68" s="59" t="s">
        <v>64</v>
      </c>
      <c r="KHU68" s="59" t="s">
        <v>98</v>
      </c>
      <c r="KHV68" s="59" t="s">
        <v>124</v>
      </c>
      <c r="KHW68" s="59" t="s">
        <v>101</v>
      </c>
      <c r="KHX68" s="56"/>
      <c r="KHY68" s="57"/>
      <c r="KHZ68" s="57"/>
      <c r="KIA68" s="57"/>
      <c r="KIB68" s="57"/>
      <c r="KIC68" s="57"/>
      <c r="KID68" s="57"/>
      <c r="KIE68" s="59" t="s">
        <v>77</v>
      </c>
      <c r="KIF68" s="59" t="s">
        <v>78</v>
      </c>
      <c r="KIG68" s="59" t="s">
        <v>79</v>
      </c>
      <c r="KIH68" s="59" t="s">
        <v>80</v>
      </c>
      <c r="KII68" s="59" t="s">
        <v>81</v>
      </c>
      <c r="KIJ68" s="59" t="s">
        <v>64</v>
      </c>
      <c r="KIK68" s="59" t="s">
        <v>98</v>
      </c>
      <c r="KIL68" s="59" t="s">
        <v>124</v>
      </c>
      <c r="KIM68" s="59" t="s">
        <v>101</v>
      </c>
      <c r="KIN68" s="56"/>
      <c r="KIO68" s="57"/>
      <c r="KIP68" s="57"/>
      <c r="KIQ68" s="57"/>
      <c r="KIR68" s="57"/>
      <c r="KIS68" s="57"/>
      <c r="KIT68" s="57"/>
      <c r="KIU68" s="59" t="s">
        <v>77</v>
      </c>
      <c r="KIV68" s="59" t="s">
        <v>78</v>
      </c>
      <c r="KIW68" s="59" t="s">
        <v>79</v>
      </c>
      <c r="KIX68" s="59" t="s">
        <v>80</v>
      </c>
      <c r="KIY68" s="59" t="s">
        <v>81</v>
      </c>
      <c r="KIZ68" s="59" t="s">
        <v>64</v>
      </c>
      <c r="KJA68" s="59" t="s">
        <v>98</v>
      </c>
      <c r="KJB68" s="59" t="s">
        <v>124</v>
      </c>
      <c r="KJC68" s="59" t="s">
        <v>101</v>
      </c>
      <c r="KJD68" s="56"/>
      <c r="KJE68" s="57"/>
      <c r="KJF68" s="57"/>
      <c r="KJG68" s="57"/>
      <c r="KJH68" s="57"/>
      <c r="KJI68" s="57"/>
      <c r="KJJ68" s="57"/>
      <c r="KJK68" s="59" t="s">
        <v>77</v>
      </c>
      <c r="KJL68" s="59" t="s">
        <v>78</v>
      </c>
      <c r="KJM68" s="59" t="s">
        <v>79</v>
      </c>
      <c r="KJN68" s="59" t="s">
        <v>80</v>
      </c>
      <c r="KJO68" s="59" t="s">
        <v>81</v>
      </c>
      <c r="KJP68" s="59" t="s">
        <v>64</v>
      </c>
      <c r="KJQ68" s="59" t="s">
        <v>98</v>
      </c>
      <c r="KJR68" s="59" t="s">
        <v>124</v>
      </c>
      <c r="KJS68" s="59" t="s">
        <v>101</v>
      </c>
      <c r="KJT68" s="56"/>
      <c r="KJU68" s="57"/>
      <c r="KJV68" s="57"/>
      <c r="KJW68" s="57"/>
      <c r="KJX68" s="57"/>
      <c r="KJY68" s="57"/>
      <c r="KJZ68" s="57"/>
      <c r="KKA68" s="59" t="s">
        <v>77</v>
      </c>
      <c r="KKB68" s="59" t="s">
        <v>78</v>
      </c>
      <c r="KKC68" s="59" t="s">
        <v>79</v>
      </c>
      <c r="KKD68" s="59" t="s">
        <v>80</v>
      </c>
      <c r="KKE68" s="59" t="s">
        <v>81</v>
      </c>
      <c r="KKF68" s="59" t="s">
        <v>64</v>
      </c>
      <c r="KKG68" s="59" t="s">
        <v>98</v>
      </c>
      <c r="KKH68" s="59" t="s">
        <v>124</v>
      </c>
      <c r="KKI68" s="59" t="s">
        <v>101</v>
      </c>
      <c r="KKJ68" s="56"/>
      <c r="KKK68" s="57"/>
      <c r="KKL68" s="57"/>
      <c r="KKM68" s="57"/>
      <c r="KKN68" s="57"/>
      <c r="KKO68" s="57"/>
      <c r="KKP68" s="57"/>
      <c r="KKQ68" s="59" t="s">
        <v>77</v>
      </c>
      <c r="KKR68" s="59" t="s">
        <v>78</v>
      </c>
      <c r="KKS68" s="59" t="s">
        <v>79</v>
      </c>
      <c r="KKT68" s="59" t="s">
        <v>80</v>
      </c>
      <c r="KKU68" s="59" t="s">
        <v>81</v>
      </c>
      <c r="KKV68" s="59" t="s">
        <v>64</v>
      </c>
      <c r="KKW68" s="59" t="s">
        <v>98</v>
      </c>
      <c r="KKX68" s="59" t="s">
        <v>124</v>
      </c>
      <c r="KKY68" s="59" t="s">
        <v>101</v>
      </c>
      <c r="KKZ68" s="56"/>
      <c r="KLA68" s="57"/>
      <c r="KLB68" s="57"/>
      <c r="KLC68" s="57"/>
      <c r="KLD68" s="57"/>
      <c r="KLE68" s="57"/>
      <c r="KLF68" s="57"/>
      <c r="KLG68" s="59" t="s">
        <v>77</v>
      </c>
      <c r="KLH68" s="59" t="s">
        <v>78</v>
      </c>
      <c r="KLI68" s="59" t="s">
        <v>79</v>
      </c>
      <c r="KLJ68" s="59" t="s">
        <v>80</v>
      </c>
      <c r="KLK68" s="59" t="s">
        <v>81</v>
      </c>
      <c r="KLL68" s="59" t="s">
        <v>64</v>
      </c>
      <c r="KLM68" s="59" t="s">
        <v>98</v>
      </c>
      <c r="KLN68" s="59" t="s">
        <v>124</v>
      </c>
      <c r="KLO68" s="59" t="s">
        <v>101</v>
      </c>
      <c r="KLP68" s="56"/>
      <c r="KLQ68" s="57"/>
      <c r="KLR68" s="57"/>
      <c r="KLS68" s="57"/>
      <c r="KLT68" s="57"/>
      <c r="KLU68" s="57"/>
      <c r="KLV68" s="57"/>
      <c r="KLW68" s="59" t="s">
        <v>77</v>
      </c>
      <c r="KLX68" s="59" t="s">
        <v>78</v>
      </c>
      <c r="KLY68" s="59" t="s">
        <v>79</v>
      </c>
      <c r="KLZ68" s="59" t="s">
        <v>80</v>
      </c>
      <c r="KMA68" s="59" t="s">
        <v>81</v>
      </c>
      <c r="KMB68" s="59" t="s">
        <v>64</v>
      </c>
      <c r="KMC68" s="59" t="s">
        <v>98</v>
      </c>
      <c r="KMD68" s="59" t="s">
        <v>124</v>
      </c>
      <c r="KME68" s="59" t="s">
        <v>101</v>
      </c>
      <c r="KMF68" s="56"/>
      <c r="KMG68" s="57"/>
      <c r="KMH68" s="57"/>
      <c r="KMI68" s="57"/>
      <c r="KMJ68" s="57"/>
      <c r="KMK68" s="57"/>
      <c r="KML68" s="57"/>
      <c r="KMM68" s="59" t="s">
        <v>77</v>
      </c>
      <c r="KMN68" s="59" t="s">
        <v>78</v>
      </c>
      <c r="KMO68" s="59" t="s">
        <v>79</v>
      </c>
      <c r="KMP68" s="59" t="s">
        <v>80</v>
      </c>
      <c r="KMQ68" s="59" t="s">
        <v>81</v>
      </c>
      <c r="KMR68" s="59" t="s">
        <v>64</v>
      </c>
      <c r="KMS68" s="59" t="s">
        <v>98</v>
      </c>
      <c r="KMT68" s="59" t="s">
        <v>124</v>
      </c>
      <c r="KMU68" s="59" t="s">
        <v>101</v>
      </c>
      <c r="KMV68" s="56"/>
      <c r="KMW68" s="57"/>
      <c r="KMX68" s="57"/>
      <c r="KMY68" s="57"/>
      <c r="KMZ68" s="57"/>
      <c r="KNA68" s="57"/>
      <c r="KNB68" s="57"/>
      <c r="KNC68" s="59" t="s">
        <v>77</v>
      </c>
      <c r="KND68" s="59" t="s">
        <v>78</v>
      </c>
      <c r="KNE68" s="59" t="s">
        <v>79</v>
      </c>
      <c r="KNF68" s="59" t="s">
        <v>80</v>
      </c>
      <c r="KNG68" s="59" t="s">
        <v>81</v>
      </c>
      <c r="KNH68" s="59" t="s">
        <v>64</v>
      </c>
      <c r="KNI68" s="59" t="s">
        <v>98</v>
      </c>
      <c r="KNJ68" s="59" t="s">
        <v>124</v>
      </c>
      <c r="KNK68" s="59" t="s">
        <v>101</v>
      </c>
      <c r="KNL68" s="56"/>
      <c r="KNM68" s="57"/>
      <c r="KNN68" s="57"/>
      <c r="KNO68" s="57"/>
      <c r="KNP68" s="57"/>
      <c r="KNQ68" s="57"/>
      <c r="KNR68" s="57"/>
      <c r="KNS68" s="59" t="s">
        <v>77</v>
      </c>
      <c r="KNT68" s="59" t="s">
        <v>78</v>
      </c>
      <c r="KNU68" s="59" t="s">
        <v>79</v>
      </c>
      <c r="KNV68" s="59" t="s">
        <v>80</v>
      </c>
      <c r="KNW68" s="59" t="s">
        <v>81</v>
      </c>
      <c r="KNX68" s="59" t="s">
        <v>64</v>
      </c>
      <c r="KNY68" s="59" t="s">
        <v>98</v>
      </c>
      <c r="KNZ68" s="59" t="s">
        <v>124</v>
      </c>
      <c r="KOA68" s="59" t="s">
        <v>101</v>
      </c>
      <c r="KOB68" s="56"/>
      <c r="KOC68" s="57"/>
      <c r="KOD68" s="57"/>
      <c r="KOE68" s="57"/>
      <c r="KOF68" s="57"/>
      <c r="KOG68" s="57"/>
      <c r="KOH68" s="57"/>
      <c r="KOI68" s="59" t="s">
        <v>77</v>
      </c>
      <c r="KOJ68" s="59" t="s">
        <v>78</v>
      </c>
      <c r="KOK68" s="59" t="s">
        <v>79</v>
      </c>
      <c r="KOL68" s="59" t="s">
        <v>80</v>
      </c>
      <c r="KOM68" s="59" t="s">
        <v>81</v>
      </c>
      <c r="KON68" s="59" t="s">
        <v>64</v>
      </c>
      <c r="KOO68" s="59" t="s">
        <v>98</v>
      </c>
      <c r="KOP68" s="59" t="s">
        <v>124</v>
      </c>
      <c r="KOQ68" s="59" t="s">
        <v>101</v>
      </c>
      <c r="KOR68" s="56"/>
      <c r="KOS68" s="57"/>
      <c r="KOT68" s="57"/>
      <c r="KOU68" s="57"/>
      <c r="KOV68" s="57"/>
      <c r="KOW68" s="57"/>
      <c r="KOX68" s="57"/>
      <c r="KOY68" s="59" t="s">
        <v>77</v>
      </c>
      <c r="KOZ68" s="59" t="s">
        <v>78</v>
      </c>
      <c r="KPA68" s="59" t="s">
        <v>79</v>
      </c>
      <c r="KPB68" s="59" t="s">
        <v>80</v>
      </c>
      <c r="KPC68" s="59" t="s">
        <v>81</v>
      </c>
      <c r="KPD68" s="59" t="s">
        <v>64</v>
      </c>
      <c r="KPE68" s="59" t="s">
        <v>98</v>
      </c>
      <c r="KPF68" s="59" t="s">
        <v>124</v>
      </c>
      <c r="KPG68" s="59" t="s">
        <v>101</v>
      </c>
      <c r="KPH68" s="56"/>
      <c r="KPI68" s="57"/>
      <c r="KPJ68" s="57"/>
      <c r="KPK68" s="57"/>
      <c r="KPL68" s="57"/>
      <c r="KPM68" s="57"/>
      <c r="KPN68" s="57"/>
      <c r="KPO68" s="59" t="s">
        <v>77</v>
      </c>
      <c r="KPP68" s="59" t="s">
        <v>78</v>
      </c>
      <c r="KPQ68" s="59" t="s">
        <v>79</v>
      </c>
      <c r="KPR68" s="59" t="s">
        <v>80</v>
      </c>
      <c r="KPS68" s="59" t="s">
        <v>81</v>
      </c>
      <c r="KPT68" s="59" t="s">
        <v>64</v>
      </c>
      <c r="KPU68" s="59" t="s">
        <v>98</v>
      </c>
      <c r="KPV68" s="59" t="s">
        <v>124</v>
      </c>
      <c r="KPW68" s="59" t="s">
        <v>101</v>
      </c>
      <c r="KPX68" s="56"/>
      <c r="KPY68" s="57"/>
      <c r="KPZ68" s="57"/>
      <c r="KQA68" s="57"/>
      <c r="KQB68" s="57"/>
      <c r="KQC68" s="57"/>
      <c r="KQD68" s="57"/>
      <c r="KQE68" s="59" t="s">
        <v>77</v>
      </c>
      <c r="KQF68" s="59" t="s">
        <v>78</v>
      </c>
      <c r="KQG68" s="59" t="s">
        <v>79</v>
      </c>
      <c r="KQH68" s="59" t="s">
        <v>80</v>
      </c>
      <c r="KQI68" s="59" t="s">
        <v>81</v>
      </c>
      <c r="KQJ68" s="59" t="s">
        <v>64</v>
      </c>
      <c r="KQK68" s="59" t="s">
        <v>98</v>
      </c>
      <c r="KQL68" s="59" t="s">
        <v>124</v>
      </c>
      <c r="KQM68" s="59" t="s">
        <v>101</v>
      </c>
      <c r="KQN68" s="56"/>
      <c r="KQO68" s="57"/>
      <c r="KQP68" s="57"/>
      <c r="KQQ68" s="57"/>
      <c r="KQR68" s="57"/>
      <c r="KQS68" s="57"/>
      <c r="KQT68" s="57"/>
      <c r="KQU68" s="59" t="s">
        <v>77</v>
      </c>
      <c r="KQV68" s="59" t="s">
        <v>78</v>
      </c>
      <c r="KQW68" s="59" t="s">
        <v>79</v>
      </c>
      <c r="KQX68" s="59" t="s">
        <v>80</v>
      </c>
      <c r="KQY68" s="59" t="s">
        <v>81</v>
      </c>
      <c r="KQZ68" s="59" t="s">
        <v>64</v>
      </c>
      <c r="KRA68" s="59" t="s">
        <v>98</v>
      </c>
      <c r="KRB68" s="59" t="s">
        <v>124</v>
      </c>
      <c r="KRC68" s="59" t="s">
        <v>101</v>
      </c>
      <c r="KRD68" s="56"/>
      <c r="KRE68" s="57"/>
      <c r="KRF68" s="57"/>
      <c r="KRG68" s="57"/>
      <c r="KRH68" s="57"/>
      <c r="KRI68" s="57"/>
      <c r="KRJ68" s="57"/>
      <c r="KRK68" s="59" t="s">
        <v>77</v>
      </c>
      <c r="KRL68" s="59" t="s">
        <v>78</v>
      </c>
      <c r="KRM68" s="59" t="s">
        <v>79</v>
      </c>
      <c r="KRN68" s="59" t="s">
        <v>80</v>
      </c>
      <c r="KRO68" s="59" t="s">
        <v>81</v>
      </c>
      <c r="KRP68" s="59" t="s">
        <v>64</v>
      </c>
      <c r="KRQ68" s="59" t="s">
        <v>98</v>
      </c>
      <c r="KRR68" s="59" t="s">
        <v>124</v>
      </c>
      <c r="KRS68" s="59" t="s">
        <v>101</v>
      </c>
      <c r="KRT68" s="56"/>
      <c r="KRU68" s="57"/>
      <c r="KRV68" s="57"/>
      <c r="KRW68" s="57"/>
      <c r="KRX68" s="57"/>
      <c r="KRY68" s="57"/>
      <c r="KRZ68" s="57"/>
      <c r="KSA68" s="59" t="s">
        <v>77</v>
      </c>
      <c r="KSB68" s="59" t="s">
        <v>78</v>
      </c>
      <c r="KSC68" s="59" t="s">
        <v>79</v>
      </c>
      <c r="KSD68" s="59" t="s">
        <v>80</v>
      </c>
      <c r="KSE68" s="59" t="s">
        <v>81</v>
      </c>
      <c r="KSF68" s="59" t="s">
        <v>64</v>
      </c>
      <c r="KSG68" s="59" t="s">
        <v>98</v>
      </c>
      <c r="KSH68" s="59" t="s">
        <v>124</v>
      </c>
      <c r="KSI68" s="59" t="s">
        <v>101</v>
      </c>
      <c r="KSJ68" s="56"/>
      <c r="KSK68" s="57"/>
      <c r="KSL68" s="57"/>
      <c r="KSM68" s="57"/>
      <c r="KSN68" s="57"/>
      <c r="KSO68" s="57"/>
      <c r="KSP68" s="57"/>
      <c r="KSQ68" s="59" t="s">
        <v>77</v>
      </c>
      <c r="KSR68" s="59" t="s">
        <v>78</v>
      </c>
      <c r="KSS68" s="59" t="s">
        <v>79</v>
      </c>
      <c r="KST68" s="59" t="s">
        <v>80</v>
      </c>
      <c r="KSU68" s="59" t="s">
        <v>81</v>
      </c>
      <c r="KSV68" s="59" t="s">
        <v>64</v>
      </c>
      <c r="KSW68" s="59" t="s">
        <v>98</v>
      </c>
      <c r="KSX68" s="59" t="s">
        <v>124</v>
      </c>
      <c r="KSY68" s="59" t="s">
        <v>101</v>
      </c>
      <c r="KSZ68" s="56"/>
      <c r="KTA68" s="57"/>
      <c r="KTB68" s="57"/>
      <c r="KTC68" s="57"/>
      <c r="KTD68" s="57"/>
      <c r="KTE68" s="57"/>
      <c r="KTF68" s="57"/>
      <c r="KTG68" s="59" t="s">
        <v>77</v>
      </c>
      <c r="KTH68" s="59" t="s">
        <v>78</v>
      </c>
      <c r="KTI68" s="59" t="s">
        <v>79</v>
      </c>
      <c r="KTJ68" s="59" t="s">
        <v>80</v>
      </c>
      <c r="KTK68" s="59" t="s">
        <v>81</v>
      </c>
      <c r="KTL68" s="59" t="s">
        <v>64</v>
      </c>
      <c r="KTM68" s="59" t="s">
        <v>98</v>
      </c>
      <c r="KTN68" s="59" t="s">
        <v>124</v>
      </c>
      <c r="KTO68" s="59" t="s">
        <v>101</v>
      </c>
      <c r="KTP68" s="56"/>
      <c r="KTQ68" s="57"/>
      <c r="KTR68" s="57"/>
      <c r="KTS68" s="57"/>
      <c r="KTT68" s="57"/>
      <c r="KTU68" s="57"/>
      <c r="KTV68" s="57"/>
      <c r="KTW68" s="59" t="s">
        <v>77</v>
      </c>
      <c r="KTX68" s="59" t="s">
        <v>78</v>
      </c>
      <c r="KTY68" s="59" t="s">
        <v>79</v>
      </c>
      <c r="KTZ68" s="59" t="s">
        <v>80</v>
      </c>
      <c r="KUA68" s="59" t="s">
        <v>81</v>
      </c>
      <c r="KUB68" s="59" t="s">
        <v>64</v>
      </c>
      <c r="KUC68" s="59" t="s">
        <v>98</v>
      </c>
      <c r="KUD68" s="59" t="s">
        <v>124</v>
      </c>
      <c r="KUE68" s="59" t="s">
        <v>101</v>
      </c>
      <c r="KUF68" s="56"/>
      <c r="KUG68" s="57"/>
      <c r="KUH68" s="57"/>
      <c r="KUI68" s="57"/>
      <c r="KUJ68" s="57"/>
      <c r="KUK68" s="57"/>
      <c r="KUL68" s="57"/>
      <c r="KUM68" s="59" t="s">
        <v>77</v>
      </c>
      <c r="KUN68" s="59" t="s">
        <v>78</v>
      </c>
      <c r="KUO68" s="59" t="s">
        <v>79</v>
      </c>
      <c r="KUP68" s="59" t="s">
        <v>80</v>
      </c>
      <c r="KUQ68" s="59" t="s">
        <v>81</v>
      </c>
      <c r="KUR68" s="59" t="s">
        <v>64</v>
      </c>
      <c r="KUS68" s="59" t="s">
        <v>98</v>
      </c>
      <c r="KUT68" s="59" t="s">
        <v>124</v>
      </c>
      <c r="KUU68" s="59" t="s">
        <v>101</v>
      </c>
      <c r="KUV68" s="56"/>
      <c r="KUW68" s="57"/>
      <c r="KUX68" s="57"/>
      <c r="KUY68" s="57"/>
      <c r="KUZ68" s="57"/>
      <c r="KVA68" s="57"/>
      <c r="KVB68" s="57"/>
      <c r="KVC68" s="59" t="s">
        <v>77</v>
      </c>
      <c r="KVD68" s="59" t="s">
        <v>78</v>
      </c>
      <c r="KVE68" s="59" t="s">
        <v>79</v>
      </c>
      <c r="KVF68" s="59" t="s">
        <v>80</v>
      </c>
      <c r="KVG68" s="59" t="s">
        <v>81</v>
      </c>
      <c r="KVH68" s="59" t="s">
        <v>64</v>
      </c>
      <c r="KVI68" s="59" t="s">
        <v>98</v>
      </c>
      <c r="KVJ68" s="59" t="s">
        <v>124</v>
      </c>
      <c r="KVK68" s="59" t="s">
        <v>101</v>
      </c>
      <c r="KVL68" s="56"/>
      <c r="KVM68" s="57"/>
      <c r="KVN68" s="57"/>
      <c r="KVO68" s="57"/>
      <c r="KVP68" s="57"/>
      <c r="KVQ68" s="57"/>
      <c r="KVR68" s="57"/>
      <c r="KVS68" s="59" t="s">
        <v>77</v>
      </c>
      <c r="KVT68" s="59" t="s">
        <v>78</v>
      </c>
      <c r="KVU68" s="59" t="s">
        <v>79</v>
      </c>
      <c r="KVV68" s="59" t="s">
        <v>80</v>
      </c>
      <c r="KVW68" s="59" t="s">
        <v>81</v>
      </c>
      <c r="KVX68" s="59" t="s">
        <v>64</v>
      </c>
      <c r="KVY68" s="59" t="s">
        <v>98</v>
      </c>
      <c r="KVZ68" s="59" t="s">
        <v>124</v>
      </c>
      <c r="KWA68" s="59" t="s">
        <v>101</v>
      </c>
      <c r="KWB68" s="56"/>
      <c r="KWC68" s="57"/>
      <c r="KWD68" s="57"/>
      <c r="KWE68" s="57"/>
      <c r="KWF68" s="57"/>
      <c r="KWG68" s="57"/>
      <c r="KWH68" s="57"/>
      <c r="KWI68" s="59" t="s">
        <v>77</v>
      </c>
      <c r="KWJ68" s="59" t="s">
        <v>78</v>
      </c>
      <c r="KWK68" s="59" t="s">
        <v>79</v>
      </c>
      <c r="KWL68" s="59" t="s">
        <v>80</v>
      </c>
      <c r="KWM68" s="59" t="s">
        <v>81</v>
      </c>
      <c r="KWN68" s="59" t="s">
        <v>64</v>
      </c>
      <c r="KWO68" s="59" t="s">
        <v>98</v>
      </c>
      <c r="KWP68" s="59" t="s">
        <v>124</v>
      </c>
      <c r="KWQ68" s="59" t="s">
        <v>101</v>
      </c>
      <c r="KWR68" s="56"/>
      <c r="KWS68" s="57"/>
      <c r="KWT68" s="57"/>
      <c r="KWU68" s="57"/>
      <c r="KWV68" s="57"/>
      <c r="KWW68" s="57"/>
      <c r="KWX68" s="57"/>
      <c r="KWY68" s="59" t="s">
        <v>77</v>
      </c>
      <c r="KWZ68" s="59" t="s">
        <v>78</v>
      </c>
      <c r="KXA68" s="59" t="s">
        <v>79</v>
      </c>
      <c r="KXB68" s="59" t="s">
        <v>80</v>
      </c>
      <c r="KXC68" s="59" t="s">
        <v>81</v>
      </c>
      <c r="KXD68" s="59" t="s">
        <v>64</v>
      </c>
      <c r="KXE68" s="59" t="s">
        <v>98</v>
      </c>
      <c r="KXF68" s="59" t="s">
        <v>124</v>
      </c>
      <c r="KXG68" s="59" t="s">
        <v>101</v>
      </c>
      <c r="KXH68" s="56"/>
      <c r="KXI68" s="57"/>
      <c r="KXJ68" s="57"/>
      <c r="KXK68" s="57"/>
      <c r="KXL68" s="57"/>
      <c r="KXM68" s="57"/>
      <c r="KXN68" s="57"/>
      <c r="KXO68" s="59" t="s">
        <v>77</v>
      </c>
      <c r="KXP68" s="59" t="s">
        <v>78</v>
      </c>
      <c r="KXQ68" s="59" t="s">
        <v>79</v>
      </c>
      <c r="KXR68" s="59" t="s">
        <v>80</v>
      </c>
      <c r="KXS68" s="59" t="s">
        <v>81</v>
      </c>
      <c r="KXT68" s="59" t="s">
        <v>64</v>
      </c>
      <c r="KXU68" s="59" t="s">
        <v>98</v>
      </c>
      <c r="KXV68" s="59" t="s">
        <v>124</v>
      </c>
      <c r="KXW68" s="59" t="s">
        <v>101</v>
      </c>
      <c r="KXX68" s="56"/>
      <c r="KXY68" s="57"/>
      <c r="KXZ68" s="57"/>
      <c r="KYA68" s="57"/>
      <c r="KYB68" s="57"/>
      <c r="KYC68" s="57"/>
      <c r="KYD68" s="57"/>
      <c r="KYE68" s="59" t="s">
        <v>77</v>
      </c>
      <c r="KYF68" s="59" t="s">
        <v>78</v>
      </c>
      <c r="KYG68" s="59" t="s">
        <v>79</v>
      </c>
      <c r="KYH68" s="59" t="s">
        <v>80</v>
      </c>
      <c r="KYI68" s="59" t="s">
        <v>81</v>
      </c>
      <c r="KYJ68" s="59" t="s">
        <v>64</v>
      </c>
      <c r="KYK68" s="59" t="s">
        <v>98</v>
      </c>
      <c r="KYL68" s="59" t="s">
        <v>124</v>
      </c>
      <c r="KYM68" s="59" t="s">
        <v>101</v>
      </c>
      <c r="KYN68" s="56"/>
      <c r="KYO68" s="57"/>
      <c r="KYP68" s="57"/>
      <c r="KYQ68" s="57"/>
      <c r="KYR68" s="57"/>
      <c r="KYS68" s="57"/>
      <c r="KYT68" s="57"/>
      <c r="KYU68" s="59" t="s">
        <v>77</v>
      </c>
      <c r="KYV68" s="59" t="s">
        <v>78</v>
      </c>
      <c r="KYW68" s="59" t="s">
        <v>79</v>
      </c>
      <c r="KYX68" s="59" t="s">
        <v>80</v>
      </c>
      <c r="KYY68" s="59" t="s">
        <v>81</v>
      </c>
      <c r="KYZ68" s="59" t="s">
        <v>64</v>
      </c>
      <c r="KZA68" s="59" t="s">
        <v>98</v>
      </c>
      <c r="KZB68" s="59" t="s">
        <v>124</v>
      </c>
      <c r="KZC68" s="59" t="s">
        <v>101</v>
      </c>
      <c r="KZD68" s="56"/>
      <c r="KZE68" s="57"/>
      <c r="KZF68" s="57"/>
      <c r="KZG68" s="57"/>
      <c r="KZH68" s="57"/>
      <c r="KZI68" s="57"/>
      <c r="KZJ68" s="57"/>
      <c r="KZK68" s="59" t="s">
        <v>77</v>
      </c>
      <c r="KZL68" s="59" t="s">
        <v>78</v>
      </c>
      <c r="KZM68" s="59" t="s">
        <v>79</v>
      </c>
      <c r="KZN68" s="59" t="s">
        <v>80</v>
      </c>
      <c r="KZO68" s="59" t="s">
        <v>81</v>
      </c>
      <c r="KZP68" s="59" t="s">
        <v>64</v>
      </c>
      <c r="KZQ68" s="59" t="s">
        <v>98</v>
      </c>
      <c r="KZR68" s="59" t="s">
        <v>124</v>
      </c>
      <c r="KZS68" s="59" t="s">
        <v>101</v>
      </c>
      <c r="KZT68" s="56"/>
      <c r="KZU68" s="57"/>
      <c r="KZV68" s="57"/>
      <c r="KZW68" s="57"/>
      <c r="KZX68" s="57"/>
      <c r="KZY68" s="57"/>
      <c r="KZZ68" s="57"/>
      <c r="LAA68" s="59" t="s">
        <v>77</v>
      </c>
      <c r="LAB68" s="59" t="s">
        <v>78</v>
      </c>
      <c r="LAC68" s="59" t="s">
        <v>79</v>
      </c>
      <c r="LAD68" s="59" t="s">
        <v>80</v>
      </c>
      <c r="LAE68" s="59" t="s">
        <v>81</v>
      </c>
      <c r="LAF68" s="59" t="s">
        <v>64</v>
      </c>
      <c r="LAG68" s="59" t="s">
        <v>98</v>
      </c>
      <c r="LAH68" s="59" t="s">
        <v>124</v>
      </c>
      <c r="LAI68" s="59" t="s">
        <v>101</v>
      </c>
      <c r="LAJ68" s="56"/>
      <c r="LAK68" s="57"/>
      <c r="LAL68" s="57"/>
      <c r="LAM68" s="57"/>
      <c r="LAN68" s="57"/>
      <c r="LAO68" s="57"/>
      <c r="LAP68" s="57"/>
      <c r="LAQ68" s="59" t="s">
        <v>77</v>
      </c>
      <c r="LAR68" s="59" t="s">
        <v>78</v>
      </c>
      <c r="LAS68" s="59" t="s">
        <v>79</v>
      </c>
      <c r="LAT68" s="59" t="s">
        <v>80</v>
      </c>
      <c r="LAU68" s="59" t="s">
        <v>81</v>
      </c>
      <c r="LAV68" s="59" t="s">
        <v>64</v>
      </c>
      <c r="LAW68" s="59" t="s">
        <v>98</v>
      </c>
      <c r="LAX68" s="59" t="s">
        <v>124</v>
      </c>
      <c r="LAY68" s="59" t="s">
        <v>101</v>
      </c>
      <c r="LAZ68" s="56"/>
      <c r="LBA68" s="57"/>
      <c r="LBB68" s="57"/>
      <c r="LBC68" s="57"/>
      <c r="LBD68" s="57"/>
      <c r="LBE68" s="57"/>
      <c r="LBF68" s="57"/>
      <c r="LBG68" s="59" t="s">
        <v>77</v>
      </c>
      <c r="LBH68" s="59" t="s">
        <v>78</v>
      </c>
      <c r="LBI68" s="59" t="s">
        <v>79</v>
      </c>
      <c r="LBJ68" s="59" t="s">
        <v>80</v>
      </c>
      <c r="LBK68" s="59" t="s">
        <v>81</v>
      </c>
      <c r="LBL68" s="59" t="s">
        <v>64</v>
      </c>
      <c r="LBM68" s="59" t="s">
        <v>98</v>
      </c>
      <c r="LBN68" s="59" t="s">
        <v>124</v>
      </c>
      <c r="LBO68" s="59" t="s">
        <v>101</v>
      </c>
      <c r="LBP68" s="56"/>
      <c r="LBQ68" s="57"/>
      <c r="LBR68" s="57"/>
      <c r="LBS68" s="57"/>
      <c r="LBT68" s="57"/>
      <c r="LBU68" s="57"/>
      <c r="LBV68" s="57"/>
      <c r="LBW68" s="59" t="s">
        <v>77</v>
      </c>
      <c r="LBX68" s="59" t="s">
        <v>78</v>
      </c>
      <c r="LBY68" s="59" t="s">
        <v>79</v>
      </c>
      <c r="LBZ68" s="59" t="s">
        <v>80</v>
      </c>
      <c r="LCA68" s="59" t="s">
        <v>81</v>
      </c>
      <c r="LCB68" s="59" t="s">
        <v>64</v>
      </c>
      <c r="LCC68" s="59" t="s">
        <v>98</v>
      </c>
      <c r="LCD68" s="59" t="s">
        <v>124</v>
      </c>
      <c r="LCE68" s="59" t="s">
        <v>101</v>
      </c>
      <c r="LCF68" s="56"/>
      <c r="LCG68" s="57"/>
      <c r="LCH68" s="57"/>
      <c r="LCI68" s="57"/>
      <c r="LCJ68" s="57"/>
      <c r="LCK68" s="57"/>
      <c r="LCL68" s="57"/>
      <c r="LCM68" s="59" t="s">
        <v>77</v>
      </c>
      <c r="LCN68" s="59" t="s">
        <v>78</v>
      </c>
      <c r="LCO68" s="59" t="s">
        <v>79</v>
      </c>
      <c r="LCP68" s="59" t="s">
        <v>80</v>
      </c>
      <c r="LCQ68" s="59" t="s">
        <v>81</v>
      </c>
      <c r="LCR68" s="59" t="s">
        <v>64</v>
      </c>
      <c r="LCS68" s="59" t="s">
        <v>98</v>
      </c>
      <c r="LCT68" s="59" t="s">
        <v>124</v>
      </c>
      <c r="LCU68" s="59" t="s">
        <v>101</v>
      </c>
      <c r="LCV68" s="56"/>
      <c r="LCW68" s="57"/>
      <c r="LCX68" s="57"/>
      <c r="LCY68" s="57"/>
      <c r="LCZ68" s="57"/>
      <c r="LDA68" s="57"/>
      <c r="LDB68" s="57"/>
      <c r="LDC68" s="59" t="s">
        <v>77</v>
      </c>
      <c r="LDD68" s="59" t="s">
        <v>78</v>
      </c>
      <c r="LDE68" s="59" t="s">
        <v>79</v>
      </c>
      <c r="LDF68" s="59" t="s">
        <v>80</v>
      </c>
      <c r="LDG68" s="59" t="s">
        <v>81</v>
      </c>
      <c r="LDH68" s="59" t="s">
        <v>64</v>
      </c>
      <c r="LDI68" s="59" t="s">
        <v>98</v>
      </c>
      <c r="LDJ68" s="59" t="s">
        <v>124</v>
      </c>
      <c r="LDK68" s="59" t="s">
        <v>101</v>
      </c>
      <c r="LDL68" s="56"/>
      <c r="LDM68" s="57"/>
      <c r="LDN68" s="57"/>
      <c r="LDO68" s="57"/>
      <c r="LDP68" s="57"/>
      <c r="LDQ68" s="57"/>
      <c r="LDR68" s="57"/>
      <c r="LDS68" s="59" t="s">
        <v>77</v>
      </c>
      <c r="LDT68" s="59" t="s">
        <v>78</v>
      </c>
      <c r="LDU68" s="59" t="s">
        <v>79</v>
      </c>
      <c r="LDV68" s="59" t="s">
        <v>80</v>
      </c>
      <c r="LDW68" s="59" t="s">
        <v>81</v>
      </c>
      <c r="LDX68" s="59" t="s">
        <v>64</v>
      </c>
      <c r="LDY68" s="59" t="s">
        <v>98</v>
      </c>
      <c r="LDZ68" s="59" t="s">
        <v>124</v>
      </c>
      <c r="LEA68" s="59" t="s">
        <v>101</v>
      </c>
      <c r="LEB68" s="56"/>
      <c r="LEC68" s="57"/>
      <c r="LED68" s="57"/>
      <c r="LEE68" s="57"/>
      <c r="LEF68" s="57"/>
      <c r="LEG68" s="57"/>
      <c r="LEH68" s="57"/>
      <c r="LEI68" s="59" t="s">
        <v>77</v>
      </c>
      <c r="LEJ68" s="59" t="s">
        <v>78</v>
      </c>
      <c r="LEK68" s="59" t="s">
        <v>79</v>
      </c>
      <c r="LEL68" s="59" t="s">
        <v>80</v>
      </c>
      <c r="LEM68" s="59" t="s">
        <v>81</v>
      </c>
      <c r="LEN68" s="59" t="s">
        <v>64</v>
      </c>
      <c r="LEO68" s="59" t="s">
        <v>98</v>
      </c>
      <c r="LEP68" s="59" t="s">
        <v>124</v>
      </c>
      <c r="LEQ68" s="59" t="s">
        <v>101</v>
      </c>
      <c r="LER68" s="56"/>
      <c r="LES68" s="57"/>
      <c r="LET68" s="57"/>
      <c r="LEU68" s="57"/>
      <c r="LEV68" s="57"/>
      <c r="LEW68" s="57"/>
      <c r="LEX68" s="57"/>
      <c r="LEY68" s="59" t="s">
        <v>77</v>
      </c>
      <c r="LEZ68" s="59" t="s">
        <v>78</v>
      </c>
      <c r="LFA68" s="59" t="s">
        <v>79</v>
      </c>
      <c r="LFB68" s="59" t="s">
        <v>80</v>
      </c>
      <c r="LFC68" s="59" t="s">
        <v>81</v>
      </c>
      <c r="LFD68" s="59" t="s">
        <v>64</v>
      </c>
      <c r="LFE68" s="59" t="s">
        <v>98</v>
      </c>
      <c r="LFF68" s="59" t="s">
        <v>124</v>
      </c>
      <c r="LFG68" s="59" t="s">
        <v>101</v>
      </c>
      <c r="LFH68" s="56"/>
      <c r="LFI68" s="57"/>
      <c r="LFJ68" s="57"/>
      <c r="LFK68" s="57"/>
      <c r="LFL68" s="57"/>
      <c r="LFM68" s="57"/>
      <c r="LFN68" s="57"/>
      <c r="LFO68" s="59" t="s">
        <v>77</v>
      </c>
      <c r="LFP68" s="59" t="s">
        <v>78</v>
      </c>
      <c r="LFQ68" s="59" t="s">
        <v>79</v>
      </c>
      <c r="LFR68" s="59" t="s">
        <v>80</v>
      </c>
      <c r="LFS68" s="59" t="s">
        <v>81</v>
      </c>
      <c r="LFT68" s="59" t="s">
        <v>64</v>
      </c>
      <c r="LFU68" s="59" t="s">
        <v>98</v>
      </c>
      <c r="LFV68" s="59" t="s">
        <v>124</v>
      </c>
      <c r="LFW68" s="59" t="s">
        <v>101</v>
      </c>
      <c r="LFX68" s="56"/>
      <c r="LFY68" s="57"/>
      <c r="LFZ68" s="57"/>
      <c r="LGA68" s="57"/>
      <c r="LGB68" s="57"/>
      <c r="LGC68" s="57"/>
      <c r="LGD68" s="57"/>
      <c r="LGE68" s="59" t="s">
        <v>77</v>
      </c>
      <c r="LGF68" s="59" t="s">
        <v>78</v>
      </c>
      <c r="LGG68" s="59" t="s">
        <v>79</v>
      </c>
      <c r="LGH68" s="59" t="s">
        <v>80</v>
      </c>
      <c r="LGI68" s="59" t="s">
        <v>81</v>
      </c>
      <c r="LGJ68" s="59" t="s">
        <v>64</v>
      </c>
      <c r="LGK68" s="59" t="s">
        <v>98</v>
      </c>
      <c r="LGL68" s="59" t="s">
        <v>124</v>
      </c>
      <c r="LGM68" s="59" t="s">
        <v>101</v>
      </c>
      <c r="LGN68" s="56"/>
      <c r="LGO68" s="57"/>
      <c r="LGP68" s="57"/>
      <c r="LGQ68" s="57"/>
      <c r="LGR68" s="57"/>
      <c r="LGS68" s="57"/>
      <c r="LGT68" s="57"/>
      <c r="LGU68" s="59" t="s">
        <v>77</v>
      </c>
      <c r="LGV68" s="59" t="s">
        <v>78</v>
      </c>
      <c r="LGW68" s="59" t="s">
        <v>79</v>
      </c>
      <c r="LGX68" s="59" t="s">
        <v>80</v>
      </c>
      <c r="LGY68" s="59" t="s">
        <v>81</v>
      </c>
      <c r="LGZ68" s="59" t="s">
        <v>64</v>
      </c>
      <c r="LHA68" s="59" t="s">
        <v>98</v>
      </c>
      <c r="LHB68" s="59" t="s">
        <v>124</v>
      </c>
      <c r="LHC68" s="59" t="s">
        <v>101</v>
      </c>
      <c r="LHD68" s="56"/>
      <c r="LHE68" s="57"/>
      <c r="LHF68" s="57"/>
      <c r="LHG68" s="57"/>
      <c r="LHH68" s="57"/>
      <c r="LHI68" s="57"/>
      <c r="LHJ68" s="57"/>
      <c r="LHK68" s="59" t="s">
        <v>77</v>
      </c>
      <c r="LHL68" s="59" t="s">
        <v>78</v>
      </c>
      <c r="LHM68" s="59" t="s">
        <v>79</v>
      </c>
      <c r="LHN68" s="59" t="s">
        <v>80</v>
      </c>
      <c r="LHO68" s="59" t="s">
        <v>81</v>
      </c>
      <c r="LHP68" s="59" t="s">
        <v>64</v>
      </c>
      <c r="LHQ68" s="59" t="s">
        <v>98</v>
      </c>
      <c r="LHR68" s="59" t="s">
        <v>124</v>
      </c>
      <c r="LHS68" s="59" t="s">
        <v>101</v>
      </c>
      <c r="LHT68" s="56"/>
      <c r="LHU68" s="57"/>
      <c r="LHV68" s="57"/>
      <c r="LHW68" s="57"/>
      <c r="LHX68" s="57"/>
      <c r="LHY68" s="57"/>
      <c r="LHZ68" s="57"/>
      <c r="LIA68" s="59" t="s">
        <v>77</v>
      </c>
      <c r="LIB68" s="59" t="s">
        <v>78</v>
      </c>
      <c r="LIC68" s="59" t="s">
        <v>79</v>
      </c>
      <c r="LID68" s="59" t="s">
        <v>80</v>
      </c>
      <c r="LIE68" s="59" t="s">
        <v>81</v>
      </c>
      <c r="LIF68" s="59" t="s">
        <v>64</v>
      </c>
      <c r="LIG68" s="59" t="s">
        <v>98</v>
      </c>
      <c r="LIH68" s="59" t="s">
        <v>124</v>
      </c>
      <c r="LII68" s="59" t="s">
        <v>101</v>
      </c>
      <c r="LIJ68" s="56"/>
      <c r="LIK68" s="57"/>
      <c r="LIL68" s="57"/>
      <c r="LIM68" s="57"/>
      <c r="LIN68" s="57"/>
      <c r="LIO68" s="57"/>
      <c r="LIP68" s="57"/>
      <c r="LIQ68" s="59" t="s">
        <v>77</v>
      </c>
      <c r="LIR68" s="59" t="s">
        <v>78</v>
      </c>
      <c r="LIS68" s="59" t="s">
        <v>79</v>
      </c>
      <c r="LIT68" s="59" t="s">
        <v>80</v>
      </c>
      <c r="LIU68" s="59" t="s">
        <v>81</v>
      </c>
      <c r="LIV68" s="59" t="s">
        <v>64</v>
      </c>
      <c r="LIW68" s="59" t="s">
        <v>98</v>
      </c>
      <c r="LIX68" s="59" t="s">
        <v>124</v>
      </c>
      <c r="LIY68" s="59" t="s">
        <v>101</v>
      </c>
      <c r="LIZ68" s="56"/>
      <c r="LJA68" s="57"/>
      <c r="LJB68" s="57"/>
      <c r="LJC68" s="57"/>
      <c r="LJD68" s="57"/>
      <c r="LJE68" s="57"/>
      <c r="LJF68" s="57"/>
      <c r="LJG68" s="59" t="s">
        <v>77</v>
      </c>
      <c r="LJH68" s="59" t="s">
        <v>78</v>
      </c>
      <c r="LJI68" s="59" t="s">
        <v>79</v>
      </c>
      <c r="LJJ68" s="59" t="s">
        <v>80</v>
      </c>
      <c r="LJK68" s="59" t="s">
        <v>81</v>
      </c>
      <c r="LJL68" s="59" t="s">
        <v>64</v>
      </c>
      <c r="LJM68" s="59" t="s">
        <v>98</v>
      </c>
      <c r="LJN68" s="59" t="s">
        <v>124</v>
      </c>
      <c r="LJO68" s="59" t="s">
        <v>101</v>
      </c>
      <c r="LJP68" s="56"/>
      <c r="LJQ68" s="57"/>
      <c r="LJR68" s="57"/>
      <c r="LJS68" s="57"/>
      <c r="LJT68" s="57"/>
      <c r="LJU68" s="57"/>
      <c r="LJV68" s="57"/>
      <c r="LJW68" s="59" t="s">
        <v>77</v>
      </c>
      <c r="LJX68" s="59" t="s">
        <v>78</v>
      </c>
      <c r="LJY68" s="59" t="s">
        <v>79</v>
      </c>
      <c r="LJZ68" s="59" t="s">
        <v>80</v>
      </c>
      <c r="LKA68" s="59" t="s">
        <v>81</v>
      </c>
      <c r="LKB68" s="59" t="s">
        <v>64</v>
      </c>
      <c r="LKC68" s="59" t="s">
        <v>98</v>
      </c>
      <c r="LKD68" s="59" t="s">
        <v>124</v>
      </c>
      <c r="LKE68" s="59" t="s">
        <v>101</v>
      </c>
      <c r="LKF68" s="56"/>
      <c r="LKG68" s="57"/>
      <c r="LKH68" s="57"/>
      <c r="LKI68" s="57"/>
      <c r="LKJ68" s="57"/>
      <c r="LKK68" s="57"/>
      <c r="LKL68" s="57"/>
      <c r="LKM68" s="59" t="s">
        <v>77</v>
      </c>
      <c r="LKN68" s="59" t="s">
        <v>78</v>
      </c>
      <c r="LKO68" s="59" t="s">
        <v>79</v>
      </c>
      <c r="LKP68" s="59" t="s">
        <v>80</v>
      </c>
      <c r="LKQ68" s="59" t="s">
        <v>81</v>
      </c>
      <c r="LKR68" s="59" t="s">
        <v>64</v>
      </c>
      <c r="LKS68" s="59" t="s">
        <v>98</v>
      </c>
      <c r="LKT68" s="59" t="s">
        <v>124</v>
      </c>
      <c r="LKU68" s="59" t="s">
        <v>101</v>
      </c>
      <c r="LKV68" s="56"/>
      <c r="LKW68" s="57"/>
      <c r="LKX68" s="57"/>
      <c r="LKY68" s="57"/>
      <c r="LKZ68" s="57"/>
      <c r="LLA68" s="57"/>
      <c r="LLB68" s="57"/>
      <c r="LLC68" s="59" t="s">
        <v>77</v>
      </c>
      <c r="LLD68" s="59" t="s">
        <v>78</v>
      </c>
      <c r="LLE68" s="59" t="s">
        <v>79</v>
      </c>
      <c r="LLF68" s="59" t="s">
        <v>80</v>
      </c>
      <c r="LLG68" s="59" t="s">
        <v>81</v>
      </c>
      <c r="LLH68" s="59" t="s">
        <v>64</v>
      </c>
      <c r="LLI68" s="59" t="s">
        <v>98</v>
      </c>
      <c r="LLJ68" s="59" t="s">
        <v>124</v>
      </c>
      <c r="LLK68" s="59" t="s">
        <v>101</v>
      </c>
      <c r="LLL68" s="56"/>
      <c r="LLM68" s="57"/>
      <c r="LLN68" s="57"/>
      <c r="LLO68" s="57"/>
      <c r="LLP68" s="57"/>
      <c r="LLQ68" s="57"/>
      <c r="LLR68" s="57"/>
      <c r="LLS68" s="59" t="s">
        <v>77</v>
      </c>
      <c r="LLT68" s="59" t="s">
        <v>78</v>
      </c>
      <c r="LLU68" s="59" t="s">
        <v>79</v>
      </c>
      <c r="LLV68" s="59" t="s">
        <v>80</v>
      </c>
      <c r="LLW68" s="59" t="s">
        <v>81</v>
      </c>
      <c r="LLX68" s="59" t="s">
        <v>64</v>
      </c>
      <c r="LLY68" s="59" t="s">
        <v>98</v>
      </c>
      <c r="LLZ68" s="59" t="s">
        <v>124</v>
      </c>
      <c r="LMA68" s="59" t="s">
        <v>101</v>
      </c>
      <c r="LMB68" s="56"/>
      <c r="LMC68" s="57"/>
      <c r="LMD68" s="57"/>
      <c r="LME68" s="57"/>
      <c r="LMF68" s="57"/>
      <c r="LMG68" s="57"/>
      <c r="LMH68" s="57"/>
      <c r="LMI68" s="59" t="s">
        <v>77</v>
      </c>
      <c r="LMJ68" s="59" t="s">
        <v>78</v>
      </c>
      <c r="LMK68" s="59" t="s">
        <v>79</v>
      </c>
      <c r="LML68" s="59" t="s">
        <v>80</v>
      </c>
      <c r="LMM68" s="59" t="s">
        <v>81</v>
      </c>
      <c r="LMN68" s="59" t="s">
        <v>64</v>
      </c>
      <c r="LMO68" s="59" t="s">
        <v>98</v>
      </c>
      <c r="LMP68" s="59" t="s">
        <v>124</v>
      </c>
      <c r="LMQ68" s="59" t="s">
        <v>101</v>
      </c>
      <c r="LMR68" s="56"/>
      <c r="LMS68" s="57"/>
      <c r="LMT68" s="57"/>
      <c r="LMU68" s="57"/>
      <c r="LMV68" s="57"/>
      <c r="LMW68" s="57"/>
      <c r="LMX68" s="57"/>
      <c r="LMY68" s="59" t="s">
        <v>77</v>
      </c>
      <c r="LMZ68" s="59" t="s">
        <v>78</v>
      </c>
      <c r="LNA68" s="59" t="s">
        <v>79</v>
      </c>
      <c r="LNB68" s="59" t="s">
        <v>80</v>
      </c>
      <c r="LNC68" s="59" t="s">
        <v>81</v>
      </c>
      <c r="LND68" s="59" t="s">
        <v>64</v>
      </c>
      <c r="LNE68" s="59" t="s">
        <v>98</v>
      </c>
      <c r="LNF68" s="59" t="s">
        <v>124</v>
      </c>
      <c r="LNG68" s="59" t="s">
        <v>101</v>
      </c>
      <c r="LNH68" s="56"/>
      <c r="LNI68" s="57"/>
      <c r="LNJ68" s="57"/>
      <c r="LNK68" s="57"/>
      <c r="LNL68" s="57"/>
      <c r="LNM68" s="57"/>
      <c r="LNN68" s="57"/>
      <c r="LNO68" s="59" t="s">
        <v>77</v>
      </c>
      <c r="LNP68" s="59" t="s">
        <v>78</v>
      </c>
      <c r="LNQ68" s="59" t="s">
        <v>79</v>
      </c>
      <c r="LNR68" s="59" t="s">
        <v>80</v>
      </c>
      <c r="LNS68" s="59" t="s">
        <v>81</v>
      </c>
      <c r="LNT68" s="59" t="s">
        <v>64</v>
      </c>
      <c r="LNU68" s="59" t="s">
        <v>98</v>
      </c>
      <c r="LNV68" s="59" t="s">
        <v>124</v>
      </c>
      <c r="LNW68" s="59" t="s">
        <v>101</v>
      </c>
      <c r="LNX68" s="56"/>
      <c r="LNY68" s="57"/>
      <c r="LNZ68" s="57"/>
      <c r="LOA68" s="57"/>
      <c r="LOB68" s="57"/>
      <c r="LOC68" s="57"/>
      <c r="LOD68" s="57"/>
      <c r="LOE68" s="59" t="s">
        <v>77</v>
      </c>
      <c r="LOF68" s="59" t="s">
        <v>78</v>
      </c>
      <c r="LOG68" s="59" t="s">
        <v>79</v>
      </c>
      <c r="LOH68" s="59" t="s">
        <v>80</v>
      </c>
      <c r="LOI68" s="59" t="s">
        <v>81</v>
      </c>
      <c r="LOJ68" s="59" t="s">
        <v>64</v>
      </c>
      <c r="LOK68" s="59" t="s">
        <v>98</v>
      </c>
      <c r="LOL68" s="59" t="s">
        <v>124</v>
      </c>
      <c r="LOM68" s="59" t="s">
        <v>101</v>
      </c>
      <c r="LON68" s="56"/>
      <c r="LOO68" s="57"/>
      <c r="LOP68" s="57"/>
      <c r="LOQ68" s="57"/>
      <c r="LOR68" s="57"/>
      <c r="LOS68" s="57"/>
      <c r="LOT68" s="57"/>
      <c r="LOU68" s="59" t="s">
        <v>77</v>
      </c>
      <c r="LOV68" s="59" t="s">
        <v>78</v>
      </c>
      <c r="LOW68" s="59" t="s">
        <v>79</v>
      </c>
      <c r="LOX68" s="59" t="s">
        <v>80</v>
      </c>
      <c r="LOY68" s="59" t="s">
        <v>81</v>
      </c>
      <c r="LOZ68" s="59" t="s">
        <v>64</v>
      </c>
      <c r="LPA68" s="59" t="s">
        <v>98</v>
      </c>
      <c r="LPB68" s="59" t="s">
        <v>124</v>
      </c>
      <c r="LPC68" s="59" t="s">
        <v>101</v>
      </c>
      <c r="LPD68" s="56"/>
      <c r="LPE68" s="57"/>
      <c r="LPF68" s="57"/>
      <c r="LPG68" s="57"/>
      <c r="LPH68" s="57"/>
      <c r="LPI68" s="57"/>
      <c r="LPJ68" s="57"/>
      <c r="LPK68" s="59" t="s">
        <v>77</v>
      </c>
      <c r="LPL68" s="59" t="s">
        <v>78</v>
      </c>
      <c r="LPM68" s="59" t="s">
        <v>79</v>
      </c>
      <c r="LPN68" s="59" t="s">
        <v>80</v>
      </c>
      <c r="LPO68" s="59" t="s">
        <v>81</v>
      </c>
      <c r="LPP68" s="59" t="s">
        <v>64</v>
      </c>
      <c r="LPQ68" s="59" t="s">
        <v>98</v>
      </c>
      <c r="LPR68" s="59" t="s">
        <v>124</v>
      </c>
      <c r="LPS68" s="59" t="s">
        <v>101</v>
      </c>
      <c r="LPT68" s="56"/>
      <c r="LPU68" s="57"/>
      <c r="LPV68" s="57"/>
      <c r="LPW68" s="57"/>
      <c r="LPX68" s="57"/>
      <c r="LPY68" s="57"/>
      <c r="LPZ68" s="57"/>
      <c r="LQA68" s="59" t="s">
        <v>77</v>
      </c>
      <c r="LQB68" s="59" t="s">
        <v>78</v>
      </c>
      <c r="LQC68" s="59" t="s">
        <v>79</v>
      </c>
      <c r="LQD68" s="59" t="s">
        <v>80</v>
      </c>
      <c r="LQE68" s="59" t="s">
        <v>81</v>
      </c>
      <c r="LQF68" s="59" t="s">
        <v>64</v>
      </c>
      <c r="LQG68" s="59" t="s">
        <v>98</v>
      </c>
      <c r="LQH68" s="59" t="s">
        <v>124</v>
      </c>
      <c r="LQI68" s="59" t="s">
        <v>101</v>
      </c>
      <c r="LQJ68" s="56"/>
      <c r="LQK68" s="57"/>
      <c r="LQL68" s="57"/>
      <c r="LQM68" s="57"/>
      <c r="LQN68" s="57"/>
      <c r="LQO68" s="57"/>
      <c r="LQP68" s="57"/>
      <c r="LQQ68" s="59" t="s">
        <v>77</v>
      </c>
      <c r="LQR68" s="59" t="s">
        <v>78</v>
      </c>
      <c r="LQS68" s="59" t="s">
        <v>79</v>
      </c>
      <c r="LQT68" s="59" t="s">
        <v>80</v>
      </c>
      <c r="LQU68" s="59" t="s">
        <v>81</v>
      </c>
      <c r="LQV68" s="59" t="s">
        <v>64</v>
      </c>
      <c r="LQW68" s="59" t="s">
        <v>98</v>
      </c>
      <c r="LQX68" s="59" t="s">
        <v>124</v>
      </c>
      <c r="LQY68" s="59" t="s">
        <v>101</v>
      </c>
      <c r="LQZ68" s="56"/>
      <c r="LRA68" s="57"/>
      <c r="LRB68" s="57"/>
      <c r="LRC68" s="57"/>
      <c r="LRD68" s="57"/>
      <c r="LRE68" s="57"/>
      <c r="LRF68" s="57"/>
      <c r="LRG68" s="59" t="s">
        <v>77</v>
      </c>
      <c r="LRH68" s="59" t="s">
        <v>78</v>
      </c>
      <c r="LRI68" s="59" t="s">
        <v>79</v>
      </c>
      <c r="LRJ68" s="59" t="s">
        <v>80</v>
      </c>
      <c r="LRK68" s="59" t="s">
        <v>81</v>
      </c>
      <c r="LRL68" s="59" t="s">
        <v>64</v>
      </c>
      <c r="LRM68" s="59" t="s">
        <v>98</v>
      </c>
      <c r="LRN68" s="59" t="s">
        <v>124</v>
      </c>
      <c r="LRO68" s="59" t="s">
        <v>101</v>
      </c>
      <c r="LRP68" s="56"/>
      <c r="LRQ68" s="57"/>
      <c r="LRR68" s="57"/>
      <c r="LRS68" s="57"/>
      <c r="LRT68" s="57"/>
      <c r="LRU68" s="57"/>
      <c r="LRV68" s="57"/>
      <c r="LRW68" s="59" t="s">
        <v>77</v>
      </c>
      <c r="LRX68" s="59" t="s">
        <v>78</v>
      </c>
      <c r="LRY68" s="59" t="s">
        <v>79</v>
      </c>
      <c r="LRZ68" s="59" t="s">
        <v>80</v>
      </c>
      <c r="LSA68" s="59" t="s">
        <v>81</v>
      </c>
      <c r="LSB68" s="59" t="s">
        <v>64</v>
      </c>
      <c r="LSC68" s="59" t="s">
        <v>98</v>
      </c>
      <c r="LSD68" s="59" t="s">
        <v>124</v>
      </c>
      <c r="LSE68" s="59" t="s">
        <v>101</v>
      </c>
      <c r="LSF68" s="56"/>
      <c r="LSG68" s="57"/>
      <c r="LSH68" s="57"/>
      <c r="LSI68" s="57"/>
      <c r="LSJ68" s="57"/>
      <c r="LSK68" s="57"/>
      <c r="LSL68" s="57"/>
      <c r="LSM68" s="59" t="s">
        <v>77</v>
      </c>
      <c r="LSN68" s="59" t="s">
        <v>78</v>
      </c>
      <c r="LSO68" s="59" t="s">
        <v>79</v>
      </c>
      <c r="LSP68" s="59" t="s">
        <v>80</v>
      </c>
      <c r="LSQ68" s="59" t="s">
        <v>81</v>
      </c>
      <c r="LSR68" s="59" t="s">
        <v>64</v>
      </c>
      <c r="LSS68" s="59" t="s">
        <v>98</v>
      </c>
      <c r="LST68" s="59" t="s">
        <v>124</v>
      </c>
      <c r="LSU68" s="59" t="s">
        <v>101</v>
      </c>
      <c r="LSV68" s="56"/>
      <c r="LSW68" s="57"/>
      <c r="LSX68" s="57"/>
      <c r="LSY68" s="57"/>
      <c r="LSZ68" s="57"/>
      <c r="LTA68" s="57"/>
      <c r="LTB68" s="57"/>
      <c r="LTC68" s="59" t="s">
        <v>77</v>
      </c>
      <c r="LTD68" s="59" t="s">
        <v>78</v>
      </c>
      <c r="LTE68" s="59" t="s">
        <v>79</v>
      </c>
      <c r="LTF68" s="59" t="s">
        <v>80</v>
      </c>
      <c r="LTG68" s="59" t="s">
        <v>81</v>
      </c>
      <c r="LTH68" s="59" t="s">
        <v>64</v>
      </c>
      <c r="LTI68" s="59" t="s">
        <v>98</v>
      </c>
      <c r="LTJ68" s="59" t="s">
        <v>124</v>
      </c>
      <c r="LTK68" s="59" t="s">
        <v>101</v>
      </c>
      <c r="LTL68" s="56"/>
      <c r="LTM68" s="57"/>
      <c r="LTN68" s="57"/>
      <c r="LTO68" s="57"/>
      <c r="LTP68" s="57"/>
      <c r="LTQ68" s="57"/>
      <c r="LTR68" s="57"/>
      <c r="LTS68" s="59" t="s">
        <v>77</v>
      </c>
      <c r="LTT68" s="59" t="s">
        <v>78</v>
      </c>
      <c r="LTU68" s="59" t="s">
        <v>79</v>
      </c>
      <c r="LTV68" s="59" t="s">
        <v>80</v>
      </c>
      <c r="LTW68" s="59" t="s">
        <v>81</v>
      </c>
      <c r="LTX68" s="59" t="s">
        <v>64</v>
      </c>
      <c r="LTY68" s="59" t="s">
        <v>98</v>
      </c>
      <c r="LTZ68" s="59" t="s">
        <v>124</v>
      </c>
      <c r="LUA68" s="59" t="s">
        <v>101</v>
      </c>
      <c r="LUB68" s="56"/>
      <c r="LUC68" s="57"/>
      <c r="LUD68" s="57"/>
      <c r="LUE68" s="57"/>
      <c r="LUF68" s="57"/>
      <c r="LUG68" s="57"/>
      <c r="LUH68" s="57"/>
      <c r="LUI68" s="59" t="s">
        <v>77</v>
      </c>
      <c r="LUJ68" s="59" t="s">
        <v>78</v>
      </c>
      <c r="LUK68" s="59" t="s">
        <v>79</v>
      </c>
      <c r="LUL68" s="59" t="s">
        <v>80</v>
      </c>
      <c r="LUM68" s="59" t="s">
        <v>81</v>
      </c>
      <c r="LUN68" s="59" t="s">
        <v>64</v>
      </c>
      <c r="LUO68" s="59" t="s">
        <v>98</v>
      </c>
      <c r="LUP68" s="59" t="s">
        <v>124</v>
      </c>
      <c r="LUQ68" s="59" t="s">
        <v>101</v>
      </c>
      <c r="LUR68" s="56"/>
      <c r="LUS68" s="57"/>
      <c r="LUT68" s="57"/>
      <c r="LUU68" s="57"/>
      <c r="LUV68" s="57"/>
      <c r="LUW68" s="57"/>
      <c r="LUX68" s="57"/>
      <c r="LUY68" s="59" t="s">
        <v>77</v>
      </c>
      <c r="LUZ68" s="59" t="s">
        <v>78</v>
      </c>
      <c r="LVA68" s="59" t="s">
        <v>79</v>
      </c>
      <c r="LVB68" s="59" t="s">
        <v>80</v>
      </c>
      <c r="LVC68" s="59" t="s">
        <v>81</v>
      </c>
      <c r="LVD68" s="59" t="s">
        <v>64</v>
      </c>
      <c r="LVE68" s="59" t="s">
        <v>98</v>
      </c>
      <c r="LVF68" s="59" t="s">
        <v>124</v>
      </c>
      <c r="LVG68" s="59" t="s">
        <v>101</v>
      </c>
      <c r="LVH68" s="56"/>
      <c r="LVI68" s="57"/>
      <c r="LVJ68" s="57"/>
      <c r="LVK68" s="57"/>
      <c r="LVL68" s="57"/>
      <c r="LVM68" s="57"/>
      <c r="LVN68" s="57"/>
      <c r="LVO68" s="59" t="s">
        <v>77</v>
      </c>
      <c r="LVP68" s="59" t="s">
        <v>78</v>
      </c>
      <c r="LVQ68" s="59" t="s">
        <v>79</v>
      </c>
      <c r="LVR68" s="59" t="s">
        <v>80</v>
      </c>
      <c r="LVS68" s="59" t="s">
        <v>81</v>
      </c>
      <c r="LVT68" s="59" t="s">
        <v>64</v>
      </c>
      <c r="LVU68" s="59" t="s">
        <v>98</v>
      </c>
      <c r="LVV68" s="59" t="s">
        <v>124</v>
      </c>
      <c r="LVW68" s="59" t="s">
        <v>101</v>
      </c>
      <c r="LVX68" s="56"/>
      <c r="LVY68" s="57"/>
      <c r="LVZ68" s="57"/>
      <c r="LWA68" s="57"/>
      <c r="LWB68" s="57"/>
      <c r="LWC68" s="57"/>
      <c r="LWD68" s="57"/>
      <c r="LWE68" s="59" t="s">
        <v>77</v>
      </c>
      <c r="LWF68" s="59" t="s">
        <v>78</v>
      </c>
      <c r="LWG68" s="59" t="s">
        <v>79</v>
      </c>
      <c r="LWH68" s="59" t="s">
        <v>80</v>
      </c>
      <c r="LWI68" s="59" t="s">
        <v>81</v>
      </c>
      <c r="LWJ68" s="59" t="s">
        <v>64</v>
      </c>
      <c r="LWK68" s="59" t="s">
        <v>98</v>
      </c>
      <c r="LWL68" s="59" t="s">
        <v>124</v>
      </c>
      <c r="LWM68" s="59" t="s">
        <v>101</v>
      </c>
      <c r="LWN68" s="56"/>
      <c r="LWO68" s="57"/>
      <c r="LWP68" s="57"/>
      <c r="LWQ68" s="57"/>
      <c r="LWR68" s="57"/>
      <c r="LWS68" s="57"/>
      <c r="LWT68" s="57"/>
      <c r="LWU68" s="59" t="s">
        <v>77</v>
      </c>
      <c r="LWV68" s="59" t="s">
        <v>78</v>
      </c>
      <c r="LWW68" s="59" t="s">
        <v>79</v>
      </c>
      <c r="LWX68" s="59" t="s">
        <v>80</v>
      </c>
      <c r="LWY68" s="59" t="s">
        <v>81</v>
      </c>
      <c r="LWZ68" s="59" t="s">
        <v>64</v>
      </c>
      <c r="LXA68" s="59" t="s">
        <v>98</v>
      </c>
      <c r="LXB68" s="59" t="s">
        <v>124</v>
      </c>
      <c r="LXC68" s="59" t="s">
        <v>101</v>
      </c>
      <c r="LXD68" s="56"/>
      <c r="LXE68" s="57"/>
      <c r="LXF68" s="57"/>
      <c r="LXG68" s="57"/>
      <c r="LXH68" s="57"/>
      <c r="LXI68" s="57"/>
      <c r="LXJ68" s="57"/>
      <c r="LXK68" s="59" t="s">
        <v>77</v>
      </c>
      <c r="LXL68" s="59" t="s">
        <v>78</v>
      </c>
      <c r="LXM68" s="59" t="s">
        <v>79</v>
      </c>
      <c r="LXN68" s="59" t="s">
        <v>80</v>
      </c>
      <c r="LXO68" s="59" t="s">
        <v>81</v>
      </c>
      <c r="LXP68" s="59" t="s">
        <v>64</v>
      </c>
      <c r="LXQ68" s="59" t="s">
        <v>98</v>
      </c>
      <c r="LXR68" s="59" t="s">
        <v>124</v>
      </c>
      <c r="LXS68" s="59" t="s">
        <v>101</v>
      </c>
      <c r="LXT68" s="56"/>
      <c r="LXU68" s="57"/>
      <c r="LXV68" s="57"/>
      <c r="LXW68" s="57"/>
      <c r="LXX68" s="57"/>
      <c r="LXY68" s="57"/>
      <c r="LXZ68" s="57"/>
      <c r="LYA68" s="59" t="s">
        <v>77</v>
      </c>
      <c r="LYB68" s="59" t="s">
        <v>78</v>
      </c>
      <c r="LYC68" s="59" t="s">
        <v>79</v>
      </c>
      <c r="LYD68" s="59" t="s">
        <v>80</v>
      </c>
      <c r="LYE68" s="59" t="s">
        <v>81</v>
      </c>
      <c r="LYF68" s="59" t="s">
        <v>64</v>
      </c>
      <c r="LYG68" s="59" t="s">
        <v>98</v>
      </c>
      <c r="LYH68" s="59" t="s">
        <v>124</v>
      </c>
      <c r="LYI68" s="59" t="s">
        <v>101</v>
      </c>
      <c r="LYJ68" s="56"/>
      <c r="LYK68" s="57"/>
      <c r="LYL68" s="57"/>
      <c r="LYM68" s="57"/>
      <c r="LYN68" s="57"/>
      <c r="LYO68" s="57"/>
      <c r="LYP68" s="57"/>
      <c r="LYQ68" s="59" t="s">
        <v>77</v>
      </c>
      <c r="LYR68" s="59" t="s">
        <v>78</v>
      </c>
      <c r="LYS68" s="59" t="s">
        <v>79</v>
      </c>
      <c r="LYT68" s="59" t="s">
        <v>80</v>
      </c>
      <c r="LYU68" s="59" t="s">
        <v>81</v>
      </c>
      <c r="LYV68" s="59" t="s">
        <v>64</v>
      </c>
      <c r="LYW68" s="59" t="s">
        <v>98</v>
      </c>
      <c r="LYX68" s="59" t="s">
        <v>124</v>
      </c>
      <c r="LYY68" s="59" t="s">
        <v>101</v>
      </c>
      <c r="LYZ68" s="56"/>
      <c r="LZA68" s="57"/>
      <c r="LZB68" s="57"/>
      <c r="LZC68" s="57"/>
      <c r="LZD68" s="57"/>
      <c r="LZE68" s="57"/>
      <c r="LZF68" s="57"/>
      <c r="LZG68" s="59" t="s">
        <v>77</v>
      </c>
      <c r="LZH68" s="59" t="s">
        <v>78</v>
      </c>
      <c r="LZI68" s="59" t="s">
        <v>79</v>
      </c>
      <c r="LZJ68" s="59" t="s">
        <v>80</v>
      </c>
      <c r="LZK68" s="59" t="s">
        <v>81</v>
      </c>
      <c r="LZL68" s="59" t="s">
        <v>64</v>
      </c>
      <c r="LZM68" s="59" t="s">
        <v>98</v>
      </c>
      <c r="LZN68" s="59" t="s">
        <v>124</v>
      </c>
      <c r="LZO68" s="59" t="s">
        <v>101</v>
      </c>
      <c r="LZP68" s="56"/>
      <c r="LZQ68" s="57"/>
      <c r="LZR68" s="57"/>
      <c r="LZS68" s="57"/>
      <c r="LZT68" s="57"/>
      <c r="LZU68" s="57"/>
      <c r="LZV68" s="57"/>
      <c r="LZW68" s="59" t="s">
        <v>77</v>
      </c>
      <c r="LZX68" s="59" t="s">
        <v>78</v>
      </c>
      <c r="LZY68" s="59" t="s">
        <v>79</v>
      </c>
      <c r="LZZ68" s="59" t="s">
        <v>80</v>
      </c>
      <c r="MAA68" s="59" t="s">
        <v>81</v>
      </c>
      <c r="MAB68" s="59" t="s">
        <v>64</v>
      </c>
      <c r="MAC68" s="59" t="s">
        <v>98</v>
      </c>
      <c r="MAD68" s="59" t="s">
        <v>124</v>
      </c>
      <c r="MAE68" s="59" t="s">
        <v>101</v>
      </c>
      <c r="MAF68" s="56"/>
      <c r="MAG68" s="57"/>
      <c r="MAH68" s="57"/>
      <c r="MAI68" s="57"/>
      <c r="MAJ68" s="57"/>
      <c r="MAK68" s="57"/>
      <c r="MAL68" s="57"/>
      <c r="MAM68" s="59" t="s">
        <v>77</v>
      </c>
      <c r="MAN68" s="59" t="s">
        <v>78</v>
      </c>
      <c r="MAO68" s="59" t="s">
        <v>79</v>
      </c>
      <c r="MAP68" s="59" t="s">
        <v>80</v>
      </c>
      <c r="MAQ68" s="59" t="s">
        <v>81</v>
      </c>
      <c r="MAR68" s="59" t="s">
        <v>64</v>
      </c>
      <c r="MAS68" s="59" t="s">
        <v>98</v>
      </c>
      <c r="MAT68" s="59" t="s">
        <v>124</v>
      </c>
      <c r="MAU68" s="59" t="s">
        <v>101</v>
      </c>
      <c r="MAV68" s="56"/>
      <c r="MAW68" s="57"/>
      <c r="MAX68" s="57"/>
      <c r="MAY68" s="57"/>
      <c r="MAZ68" s="57"/>
      <c r="MBA68" s="57"/>
      <c r="MBB68" s="57"/>
      <c r="MBC68" s="59" t="s">
        <v>77</v>
      </c>
      <c r="MBD68" s="59" t="s">
        <v>78</v>
      </c>
      <c r="MBE68" s="59" t="s">
        <v>79</v>
      </c>
      <c r="MBF68" s="59" t="s">
        <v>80</v>
      </c>
      <c r="MBG68" s="59" t="s">
        <v>81</v>
      </c>
      <c r="MBH68" s="59" t="s">
        <v>64</v>
      </c>
      <c r="MBI68" s="59" t="s">
        <v>98</v>
      </c>
      <c r="MBJ68" s="59" t="s">
        <v>124</v>
      </c>
      <c r="MBK68" s="59" t="s">
        <v>101</v>
      </c>
      <c r="MBL68" s="56"/>
      <c r="MBM68" s="57"/>
      <c r="MBN68" s="57"/>
      <c r="MBO68" s="57"/>
      <c r="MBP68" s="57"/>
      <c r="MBQ68" s="57"/>
      <c r="MBR68" s="57"/>
      <c r="MBS68" s="59" t="s">
        <v>77</v>
      </c>
      <c r="MBT68" s="59" t="s">
        <v>78</v>
      </c>
      <c r="MBU68" s="59" t="s">
        <v>79</v>
      </c>
      <c r="MBV68" s="59" t="s">
        <v>80</v>
      </c>
      <c r="MBW68" s="59" t="s">
        <v>81</v>
      </c>
      <c r="MBX68" s="59" t="s">
        <v>64</v>
      </c>
      <c r="MBY68" s="59" t="s">
        <v>98</v>
      </c>
      <c r="MBZ68" s="59" t="s">
        <v>124</v>
      </c>
      <c r="MCA68" s="59" t="s">
        <v>101</v>
      </c>
      <c r="MCB68" s="56"/>
      <c r="MCC68" s="57"/>
      <c r="MCD68" s="57"/>
      <c r="MCE68" s="57"/>
      <c r="MCF68" s="57"/>
      <c r="MCG68" s="57"/>
      <c r="MCH68" s="57"/>
      <c r="MCI68" s="59" t="s">
        <v>77</v>
      </c>
      <c r="MCJ68" s="59" t="s">
        <v>78</v>
      </c>
      <c r="MCK68" s="59" t="s">
        <v>79</v>
      </c>
      <c r="MCL68" s="59" t="s">
        <v>80</v>
      </c>
      <c r="MCM68" s="59" t="s">
        <v>81</v>
      </c>
      <c r="MCN68" s="59" t="s">
        <v>64</v>
      </c>
      <c r="MCO68" s="59" t="s">
        <v>98</v>
      </c>
      <c r="MCP68" s="59" t="s">
        <v>124</v>
      </c>
      <c r="MCQ68" s="59" t="s">
        <v>101</v>
      </c>
      <c r="MCR68" s="56"/>
      <c r="MCS68" s="57"/>
      <c r="MCT68" s="57"/>
      <c r="MCU68" s="57"/>
      <c r="MCV68" s="57"/>
      <c r="MCW68" s="57"/>
      <c r="MCX68" s="57"/>
      <c r="MCY68" s="59" t="s">
        <v>77</v>
      </c>
      <c r="MCZ68" s="59" t="s">
        <v>78</v>
      </c>
      <c r="MDA68" s="59" t="s">
        <v>79</v>
      </c>
      <c r="MDB68" s="59" t="s">
        <v>80</v>
      </c>
      <c r="MDC68" s="59" t="s">
        <v>81</v>
      </c>
      <c r="MDD68" s="59" t="s">
        <v>64</v>
      </c>
      <c r="MDE68" s="59" t="s">
        <v>98</v>
      </c>
      <c r="MDF68" s="59" t="s">
        <v>124</v>
      </c>
      <c r="MDG68" s="59" t="s">
        <v>101</v>
      </c>
      <c r="MDH68" s="56"/>
      <c r="MDI68" s="57"/>
      <c r="MDJ68" s="57"/>
      <c r="MDK68" s="57"/>
      <c r="MDL68" s="57"/>
      <c r="MDM68" s="57"/>
      <c r="MDN68" s="57"/>
      <c r="MDO68" s="59" t="s">
        <v>77</v>
      </c>
      <c r="MDP68" s="59" t="s">
        <v>78</v>
      </c>
      <c r="MDQ68" s="59" t="s">
        <v>79</v>
      </c>
      <c r="MDR68" s="59" t="s">
        <v>80</v>
      </c>
      <c r="MDS68" s="59" t="s">
        <v>81</v>
      </c>
      <c r="MDT68" s="59" t="s">
        <v>64</v>
      </c>
      <c r="MDU68" s="59" t="s">
        <v>98</v>
      </c>
      <c r="MDV68" s="59" t="s">
        <v>124</v>
      </c>
      <c r="MDW68" s="59" t="s">
        <v>101</v>
      </c>
      <c r="MDX68" s="56"/>
      <c r="MDY68" s="57"/>
      <c r="MDZ68" s="57"/>
      <c r="MEA68" s="57"/>
      <c r="MEB68" s="57"/>
      <c r="MEC68" s="57"/>
      <c r="MED68" s="57"/>
      <c r="MEE68" s="59" t="s">
        <v>77</v>
      </c>
      <c r="MEF68" s="59" t="s">
        <v>78</v>
      </c>
      <c r="MEG68" s="59" t="s">
        <v>79</v>
      </c>
      <c r="MEH68" s="59" t="s">
        <v>80</v>
      </c>
      <c r="MEI68" s="59" t="s">
        <v>81</v>
      </c>
      <c r="MEJ68" s="59" t="s">
        <v>64</v>
      </c>
      <c r="MEK68" s="59" t="s">
        <v>98</v>
      </c>
      <c r="MEL68" s="59" t="s">
        <v>124</v>
      </c>
      <c r="MEM68" s="59" t="s">
        <v>101</v>
      </c>
      <c r="MEN68" s="56"/>
      <c r="MEO68" s="57"/>
      <c r="MEP68" s="57"/>
      <c r="MEQ68" s="57"/>
      <c r="MER68" s="57"/>
      <c r="MES68" s="57"/>
      <c r="MET68" s="57"/>
      <c r="MEU68" s="59" t="s">
        <v>77</v>
      </c>
      <c r="MEV68" s="59" t="s">
        <v>78</v>
      </c>
      <c r="MEW68" s="59" t="s">
        <v>79</v>
      </c>
      <c r="MEX68" s="59" t="s">
        <v>80</v>
      </c>
      <c r="MEY68" s="59" t="s">
        <v>81</v>
      </c>
      <c r="MEZ68" s="59" t="s">
        <v>64</v>
      </c>
      <c r="MFA68" s="59" t="s">
        <v>98</v>
      </c>
      <c r="MFB68" s="59" t="s">
        <v>124</v>
      </c>
      <c r="MFC68" s="59" t="s">
        <v>101</v>
      </c>
      <c r="MFD68" s="56"/>
      <c r="MFE68" s="57"/>
      <c r="MFF68" s="57"/>
      <c r="MFG68" s="57"/>
      <c r="MFH68" s="57"/>
      <c r="MFI68" s="57"/>
      <c r="MFJ68" s="57"/>
      <c r="MFK68" s="59" t="s">
        <v>77</v>
      </c>
      <c r="MFL68" s="59" t="s">
        <v>78</v>
      </c>
      <c r="MFM68" s="59" t="s">
        <v>79</v>
      </c>
      <c r="MFN68" s="59" t="s">
        <v>80</v>
      </c>
      <c r="MFO68" s="59" t="s">
        <v>81</v>
      </c>
      <c r="MFP68" s="59" t="s">
        <v>64</v>
      </c>
      <c r="MFQ68" s="59" t="s">
        <v>98</v>
      </c>
      <c r="MFR68" s="59" t="s">
        <v>124</v>
      </c>
      <c r="MFS68" s="59" t="s">
        <v>101</v>
      </c>
      <c r="MFT68" s="56"/>
      <c r="MFU68" s="57"/>
      <c r="MFV68" s="57"/>
      <c r="MFW68" s="57"/>
      <c r="MFX68" s="57"/>
      <c r="MFY68" s="57"/>
      <c r="MFZ68" s="57"/>
      <c r="MGA68" s="59" t="s">
        <v>77</v>
      </c>
      <c r="MGB68" s="59" t="s">
        <v>78</v>
      </c>
      <c r="MGC68" s="59" t="s">
        <v>79</v>
      </c>
      <c r="MGD68" s="59" t="s">
        <v>80</v>
      </c>
      <c r="MGE68" s="59" t="s">
        <v>81</v>
      </c>
      <c r="MGF68" s="59" t="s">
        <v>64</v>
      </c>
      <c r="MGG68" s="59" t="s">
        <v>98</v>
      </c>
      <c r="MGH68" s="59" t="s">
        <v>124</v>
      </c>
      <c r="MGI68" s="59" t="s">
        <v>101</v>
      </c>
      <c r="MGJ68" s="56"/>
      <c r="MGK68" s="57"/>
      <c r="MGL68" s="57"/>
      <c r="MGM68" s="57"/>
      <c r="MGN68" s="57"/>
      <c r="MGO68" s="57"/>
      <c r="MGP68" s="57"/>
      <c r="MGQ68" s="59" t="s">
        <v>77</v>
      </c>
      <c r="MGR68" s="59" t="s">
        <v>78</v>
      </c>
      <c r="MGS68" s="59" t="s">
        <v>79</v>
      </c>
      <c r="MGT68" s="59" t="s">
        <v>80</v>
      </c>
      <c r="MGU68" s="59" t="s">
        <v>81</v>
      </c>
      <c r="MGV68" s="59" t="s">
        <v>64</v>
      </c>
      <c r="MGW68" s="59" t="s">
        <v>98</v>
      </c>
      <c r="MGX68" s="59" t="s">
        <v>124</v>
      </c>
      <c r="MGY68" s="59" t="s">
        <v>101</v>
      </c>
      <c r="MGZ68" s="56"/>
      <c r="MHA68" s="57"/>
      <c r="MHB68" s="57"/>
      <c r="MHC68" s="57"/>
      <c r="MHD68" s="57"/>
      <c r="MHE68" s="57"/>
      <c r="MHF68" s="57"/>
      <c r="MHG68" s="59" t="s">
        <v>77</v>
      </c>
      <c r="MHH68" s="59" t="s">
        <v>78</v>
      </c>
      <c r="MHI68" s="59" t="s">
        <v>79</v>
      </c>
      <c r="MHJ68" s="59" t="s">
        <v>80</v>
      </c>
      <c r="MHK68" s="59" t="s">
        <v>81</v>
      </c>
      <c r="MHL68" s="59" t="s">
        <v>64</v>
      </c>
      <c r="MHM68" s="59" t="s">
        <v>98</v>
      </c>
      <c r="MHN68" s="59" t="s">
        <v>124</v>
      </c>
      <c r="MHO68" s="59" t="s">
        <v>101</v>
      </c>
      <c r="MHP68" s="56"/>
      <c r="MHQ68" s="57"/>
      <c r="MHR68" s="57"/>
      <c r="MHS68" s="57"/>
      <c r="MHT68" s="57"/>
      <c r="MHU68" s="57"/>
      <c r="MHV68" s="57"/>
      <c r="MHW68" s="59" t="s">
        <v>77</v>
      </c>
      <c r="MHX68" s="59" t="s">
        <v>78</v>
      </c>
      <c r="MHY68" s="59" t="s">
        <v>79</v>
      </c>
      <c r="MHZ68" s="59" t="s">
        <v>80</v>
      </c>
      <c r="MIA68" s="59" t="s">
        <v>81</v>
      </c>
      <c r="MIB68" s="59" t="s">
        <v>64</v>
      </c>
      <c r="MIC68" s="59" t="s">
        <v>98</v>
      </c>
      <c r="MID68" s="59" t="s">
        <v>124</v>
      </c>
      <c r="MIE68" s="59" t="s">
        <v>101</v>
      </c>
      <c r="MIF68" s="56"/>
      <c r="MIG68" s="57"/>
      <c r="MIH68" s="57"/>
      <c r="MII68" s="57"/>
      <c r="MIJ68" s="57"/>
      <c r="MIK68" s="57"/>
      <c r="MIL68" s="57"/>
      <c r="MIM68" s="59" t="s">
        <v>77</v>
      </c>
      <c r="MIN68" s="59" t="s">
        <v>78</v>
      </c>
      <c r="MIO68" s="59" t="s">
        <v>79</v>
      </c>
      <c r="MIP68" s="59" t="s">
        <v>80</v>
      </c>
      <c r="MIQ68" s="59" t="s">
        <v>81</v>
      </c>
      <c r="MIR68" s="59" t="s">
        <v>64</v>
      </c>
      <c r="MIS68" s="59" t="s">
        <v>98</v>
      </c>
      <c r="MIT68" s="59" t="s">
        <v>124</v>
      </c>
      <c r="MIU68" s="59" t="s">
        <v>101</v>
      </c>
      <c r="MIV68" s="56"/>
      <c r="MIW68" s="57"/>
      <c r="MIX68" s="57"/>
      <c r="MIY68" s="57"/>
      <c r="MIZ68" s="57"/>
      <c r="MJA68" s="57"/>
      <c r="MJB68" s="57"/>
      <c r="MJC68" s="59" t="s">
        <v>77</v>
      </c>
      <c r="MJD68" s="59" t="s">
        <v>78</v>
      </c>
      <c r="MJE68" s="59" t="s">
        <v>79</v>
      </c>
      <c r="MJF68" s="59" t="s">
        <v>80</v>
      </c>
      <c r="MJG68" s="59" t="s">
        <v>81</v>
      </c>
      <c r="MJH68" s="59" t="s">
        <v>64</v>
      </c>
      <c r="MJI68" s="59" t="s">
        <v>98</v>
      </c>
      <c r="MJJ68" s="59" t="s">
        <v>124</v>
      </c>
      <c r="MJK68" s="59" t="s">
        <v>101</v>
      </c>
      <c r="MJL68" s="56"/>
      <c r="MJM68" s="57"/>
      <c r="MJN68" s="57"/>
      <c r="MJO68" s="57"/>
      <c r="MJP68" s="57"/>
      <c r="MJQ68" s="57"/>
      <c r="MJR68" s="57"/>
      <c r="MJS68" s="59" t="s">
        <v>77</v>
      </c>
      <c r="MJT68" s="59" t="s">
        <v>78</v>
      </c>
      <c r="MJU68" s="59" t="s">
        <v>79</v>
      </c>
      <c r="MJV68" s="59" t="s">
        <v>80</v>
      </c>
      <c r="MJW68" s="59" t="s">
        <v>81</v>
      </c>
      <c r="MJX68" s="59" t="s">
        <v>64</v>
      </c>
      <c r="MJY68" s="59" t="s">
        <v>98</v>
      </c>
      <c r="MJZ68" s="59" t="s">
        <v>124</v>
      </c>
      <c r="MKA68" s="59" t="s">
        <v>101</v>
      </c>
      <c r="MKB68" s="56"/>
      <c r="MKC68" s="57"/>
      <c r="MKD68" s="57"/>
      <c r="MKE68" s="57"/>
      <c r="MKF68" s="57"/>
      <c r="MKG68" s="57"/>
      <c r="MKH68" s="57"/>
      <c r="MKI68" s="59" t="s">
        <v>77</v>
      </c>
      <c r="MKJ68" s="59" t="s">
        <v>78</v>
      </c>
      <c r="MKK68" s="59" t="s">
        <v>79</v>
      </c>
      <c r="MKL68" s="59" t="s">
        <v>80</v>
      </c>
      <c r="MKM68" s="59" t="s">
        <v>81</v>
      </c>
      <c r="MKN68" s="59" t="s">
        <v>64</v>
      </c>
      <c r="MKO68" s="59" t="s">
        <v>98</v>
      </c>
      <c r="MKP68" s="59" t="s">
        <v>124</v>
      </c>
      <c r="MKQ68" s="59" t="s">
        <v>101</v>
      </c>
      <c r="MKR68" s="56"/>
      <c r="MKS68" s="57"/>
      <c r="MKT68" s="57"/>
      <c r="MKU68" s="57"/>
      <c r="MKV68" s="57"/>
      <c r="MKW68" s="57"/>
      <c r="MKX68" s="57"/>
      <c r="MKY68" s="59" t="s">
        <v>77</v>
      </c>
      <c r="MKZ68" s="59" t="s">
        <v>78</v>
      </c>
      <c r="MLA68" s="59" t="s">
        <v>79</v>
      </c>
      <c r="MLB68" s="59" t="s">
        <v>80</v>
      </c>
      <c r="MLC68" s="59" t="s">
        <v>81</v>
      </c>
      <c r="MLD68" s="59" t="s">
        <v>64</v>
      </c>
      <c r="MLE68" s="59" t="s">
        <v>98</v>
      </c>
      <c r="MLF68" s="59" t="s">
        <v>124</v>
      </c>
      <c r="MLG68" s="59" t="s">
        <v>101</v>
      </c>
      <c r="MLH68" s="56"/>
      <c r="MLI68" s="57"/>
      <c r="MLJ68" s="57"/>
      <c r="MLK68" s="57"/>
      <c r="MLL68" s="57"/>
      <c r="MLM68" s="57"/>
      <c r="MLN68" s="57"/>
      <c r="MLO68" s="59" t="s">
        <v>77</v>
      </c>
      <c r="MLP68" s="59" t="s">
        <v>78</v>
      </c>
      <c r="MLQ68" s="59" t="s">
        <v>79</v>
      </c>
      <c r="MLR68" s="59" t="s">
        <v>80</v>
      </c>
      <c r="MLS68" s="59" t="s">
        <v>81</v>
      </c>
      <c r="MLT68" s="59" t="s">
        <v>64</v>
      </c>
      <c r="MLU68" s="59" t="s">
        <v>98</v>
      </c>
      <c r="MLV68" s="59" t="s">
        <v>124</v>
      </c>
      <c r="MLW68" s="59" t="s">
        <v>101</v>
      </c>
      <c r="MLX68" s="56"/>
      <c r="MLY68" s="57"/>
      <c r="MLZ68" s="57"/>
      <c r="MMA68" s="57"/>
      <c r="MMB68" s="57"/>
      <c r="MMC68" s="57"/>
      <c r="MMD68" s="57"/>
      <c r="MME68" s="59" t="s">
        <v>77</v>
      </c>
      <c r="MMF68" s="59" t="s">
        <v>78</v>
      </c>
      <c r="MMG68" s="59" t="s">
        <v>79</v>
      </c>
      <c r="MMH68" s="59" t="s">
        <v>80</v>
      </c>
      <c r="MMI68" s="59" t="s">
        <v>81</v>
      </c>
      <c r="MMJ68" s="59" t="s">
        <v>64</v>
      </c>
      <c r="MMK68" s="59" t="s">
        <v>98</v>
      </c>
      <c r="MML68" s="59" t="s">
        <v>124</v>
      </c>
      <c r="MMM68" s="59" t="s">
        <v>101</v>
      </c>
      <c r="MMN68" s="56"/>
      <c r="MMO68" s="57"/>
      <c r="MMP68" s="57"/>
      <c r="MMQ68" s="57"/>
      <c r="MMR68" s="57"/>
      <c r="MMS68" s="57"/>
      <c r="MMT68" s="57"/>
      <c r="MMU68" s="59" t="s">
        <v>77</v>
      </c>
      <c r="MMV68" s="59" t="s">
        <v>78</v>
      </c>
      <c r="MMW68" s="59" t="s">
        <v>79</v>
      </c>
      <c r="MMX68" s="59" t="s">
        <v>80</v>
      </c>
      <c r="MMY68" s="59" t="s">
        <v>81</v>
      </c>
      <c r="MMZ68" s="59" t="s">
        <v>64</v>
      </c>
      <c r="MNA68" s="59" t="s">
        <v>98</v>
      </c>
      <c r="MNB68" s="59" t="s">
        <v>124</v>
      </c>
      <c r="MNC68" s="59" t="s">
        <v>101</v>
      </c>
      <c r="MND68" s="56"/>
      <c r="MNE68" s="57"/>
      <c r="MNF68" s="57"/>
      <c r="MNG68" s="57"/>
      <c r="MNH68" s="57"/>
      <c r="MNI68" s="57"/>
      <c r="MNJ68" s="57"/>
      <c r="MNK68" s="59" t="s">
        <v>77</v>
      </c>
      <c r="MNL68" s="59" t="s">
        <v>78</v>
      </c>
      <c r="MNM68" s="59" t="s">
        <v>79</v>
      </c>
      <c r="MNN68" s="59" t="s">
        <v>80</v>
      </c>
      <c r="MNO68" s="59" t="s">
        <v>81</v>
      </c>
      <c r="MNP68" s="59" t="s">
        <v>64</v>
      </c>
      <c r="MNQ68" s="59" t="s">
        <v>98</v>
      </c>
      <c r="MNR68" s="59" t="s">
        <v>124</v>
      </c>
      <c r="MNS68" s="59" t="s">
        <v>101</v>
      </c>
      <c r="MNT68" s="56"/>
      <c r="MNU68" s="57"/>
      <c r="MNV68" s="57"/>
      <c r="MNW68" s="57"/>
      <c r="MNX68" s="57"/>
      <c r="MNY68" s="57"/>
      <c r="MNZ68" s="57"/>
      <c r="MOA68" s="59" t="s">
        <v>77</v>
      </c>
      <c r="MOB68" s="59" t="s">
        <v>78</v>
      </c>
      <c r="MOC68" s="59" t="s">
        <v>79</v>
      </c>
      <c r="MOD68" s="59" t="s">
        <v>80</v>
      </c>
      <c r="MOE68" s="59" t="s">
        <v>81</v>
      </c>
      <c r="MOF68" s="59" t="s">
        <v>64</v>
      </c>
      <c r="MOG68" s="59" t="s">
        <v>98</v>
      </c>
      <c r="MOH68" s="59" t="s">
        <v>124</v>
      </c>
      <c r="MOI68" s="59" t="s">
        <v>101</v>
      </c>
      <c r="MOJ68" s="56"/>
      <c r="MOK68" s="57"/>
      <c r="MOL68" s="57"/>
      <c r="MOM68" s="57"/>
      <c r="MON68" s="57"/>
      <c r="MOO68" s="57"/>
      <c r="MOP68" s="57"/>
      <c r="MOQ68" s="59" t="s">
        <v>77</v>
      </c>
      <c r="MOR68" s="59" t="s">
        <v>78</v>
      </c>
      <c r="MOS68" s="59" t="s">
        <v>79</v>
      </c>
      <c r="MOT68" s="59" t="s">
        <v>80</v>
      </c>
      <c r="MOU68" s="59" t="s">
        <v>81</v>
      </c>
      <c r="MOV68" s="59" t="s">
        <v>64</v>
      </c>
      <c r="MOW68" s="59" t="s">
        <v>98</v>
      </c>
      <c r="MOX68" s="59" t="s">
        <v>124</v>
      </c>
      <c r="MOY68" s="59" t="s">
        <v>101</v>
      </c>
      <c r="MOZ68" s="56"/>
      <c r="MPA68" s="57"/>
      <c r="MPB68" s="57"/>
      <c r="MPC68" s="57"/>
      <c r="MPD68" s="57"/>
      <c r="MPE68" s="57"/>
      <c r="MPF68" s="57"/>
      <c r="MPG68" s="59" t="s">
        <v>77</v>
      </c>
      <c r="MPH68" s="59" t="s">
        <v>78</v>
      </c>
      <c r="MPI68" s="59" t="s">
        <v>79</v>
      </c>
      <c r="MPJ68" s="59" t="s">
        <v>80</v>
      </c>
      <c r="MPK68" s="59" t="s">
        <v>81</v>
      </c>
      <c r="MPL68" s="59" t="s">
        <v>64</v>
      </c>
      <c r="MPM68" s="59" t="s">
        <v>98</v>
      </c>
      <c r="MPN68" s="59" t="s">
        <v>124</v>
      </c>
      <c r="MPO68" s="59" t="s">
        <v>101</v>
      </c>
      <c r="MPP68" s="56"/>
      <c r="MPQ68" s="57"/>
      <c r="MPR68" s="57"/>
      <c r="MPS68" s="57"/>
      <c r="MPT68" s="57"/>
      <c r="MPU68" s="57"/>
      <c r="MPV68" s="57"/>
      <c r="MPW68" s="59" t="s">
        <v>77</v>
      </c>
      <c r="MPX68" s="59" t="s">
        <v>78</v>
      </c>
      <c r="MPY68" s="59" t="s">
        <v>79</v>
      </c>
      <c r="MPZ68" s="59" t="s">
        <v>80</v>
      </c>
      <c r="MQA68" s="59" t="s">
        <v>81</v>
      </c>
      <c r="MQB68" s="59" t="s">
        <v>64</v>
      </c>
      <c r="MQC68" s="59" t="s">
        <v>98</v>
      </c>
      <c r="MQD68" s="59" t="s">
        <v>124</v>
      </c>
      <c r="MQE68" s="59" t="s">
        <v>101</v>
      </c>
      <c r="MQF68" s="56"/>
      <c r="MQG68" s="57"/>
      <c r="MQH68" s="57"/>
      <c r="MQI68" s="57"/>
      <c r="MQJ68" s="57"/>
      <c r="MQK68" s="57"/>
      <c r="MQL68" s="57"/>
      <c r="MQM68" s="59" t="s">
        <v>77</v>
      </c>
      <c r="MQN68" s="59" t="s">
        <v>78</v>
      </c>
      <c r="MQO68" s="59" t="s">
        <v>79</v>
      </c>
      <c r="MQP68" s="59" t="s">
        <v>80</v>
      </c>
      <c r="MQQ68" s="59" t="s">
        <v>81</v>
      </c>
      <c r="MQR68" s="59" t="s">
        <v>64</v>
      </c>
      <c r="MQS68" s="59" t="s">
        <v>98</v>
      </c>
      <c r="MQT68" s="59" t="s">
        <v>124</v>
      </c>
      <c r="MQU68" s="59" t="s">
        <v>101</v>
      </c>
      <c r="MQV68" s="56"/>
      <c r="MQW68" s="57"/>
      <c r="MQX68" s="57"/>
      <c r="MQY68" s="57"/>
      <c r="MQZ68" s="57"/>
      <c r="MRA68" s="57"/>
      <c r="MRB68" s="57"/>
      <c r="MRC68" s="59" t="s">
        <v>77</v>
      </c>
      <c r="MRD68" s="59" t="s">
        <v>78</v>
      </c>
      <c r="MRE68" s="59" t="s">
        <v>79</v>
      </c>
      <c r="MRF68" s="59" t="s">
        <v>80</v>
      </c>
      <c r="MRG68" s="59" t="s">
        <v>81</v>
      </c>
      <c r="MRH68" s="59" t="s">
        <v>64</v>
      </c>
      <c r="MRI68" s="59" t="s">
        <v>98</v>
      </c>
      <c r="MRJ68" s="59" t="s">
        <v>124</v>
      </c>
      <c r="MRK68" s="59" t="s">
        <v>101</v>
      </c>
      <c r="MRL68" s="56"/>
      <c r="MRM68" s="57"/>
      <c r="MRN68" s="57"/>
      <c r="MRO68" s="57"/>
      <c r="MRP68" s="57"/>
      <c r="MRQ68" s="57"/>
      <c r="MRR68" s="57"/>
      <c r="MRS68" s="59" t="s">
        <v>77</v>
      </c>
      <c r="MRT68" s="59" t="s">
        <v>78</v>
      </c>
      <c r="MRU68" s="59" t="s">
        <v>79</v>
      </c>
      <c r="MRV68" s="59" t="s">
        <v>80</v>
      </c>
      <c r="MRW68" s="59" t="s">
        <v>81</v>
      </c>
      <c r="MRX68" s="59" t="s">
        <v>64</v>
      </c>
      <c r="MRY68" s="59" t="s">
        <v>98</v>
      </c>
      <c r="MRZ68" s="59" t="s">
        <v>124</v>
      </c>
      <c r="MSA68" s="59" t="s">
        <v>101</v>
      </c>
      <c r="MSB68" s="56"/>
      <c r="MSC68" s="57"/>
      <c r="MSD68" s="57"/>
      <c r="MSE68" s="57"/>
      <c r="MSF68" s="57"/>
      <c r="MSG68" s="57"/>
      <c r="MSH68" s="57"/>
      <c r="MSI68" s="59" t="s">
        <v>77</v>
      </c>
      <c r="MSJ68" s="59" t="s">
        <v>78</v>
      </c>
      <c r="MSK68" s="59" t="s">
        <v>79</v>
      </c>
      <c r="MSL68" s="59" t="s">
        <v>80</v>
      </c>
      <c r="MSM68" s="59" t="s">
        <v>81</v>
      </c>
      <c r="MSN68" s="59" t="s">
        <v>64</v>
      </c>
      <c r="MSO68" s="59" t="s">
        <v>98</v>
      </c>
      <c r="MSP68" s="59" t="s">
        <v>124</v>
      </c>
      <c r="MSQ68" s="59" t="s">
        <v>101</v>
      </c>
      <c r="MSR68" s="56"/>
      <c r="MSS68" s="57"/>
      <c r="MST68" s="57"/>
      <c r="MSU68" s="57"/>
      <c r="MSV68" s="57"/>
      <c r="MSW68" s="57"/>
      <c r="MSX68" s="57"/>
      <c r="MSY68" s="59" t="s">
        <v>77</v>
      </c>
      <c r="MSZ68" s="59" t="s">
        <v>78</v>
      </c>
      <c r="MTA68" s="59" t="s">
        <v>79</v>
      </c>
      <c r="MTB68" s="59" t="s">
        <v>80</v>
      </c>
      <c r="MTC68" s="59" t="s">
        <v>81</v>
      </c>
      <c r="MTD68" s="59" t="s">
        <v>64</v>
      </c>
      <c r="MTE68" s="59" t="s">
        <v>98</v>
      </c>
      <c r="MTF68" s="59" t="s">
        <v>124</v>
      </c>
      <c r="MTG68" s="59" t="s">
        <v>101</v>
      </c>
      <c r="MTH68" s="56"/>
      <c r="MTI68" s="57"/>
      <c r="MTJ68" s="57"/>
      <c r="MTK68" s="57"/>
      <c r="MTL68" s="57"/>
      <c r="MTM68" s="57"/>
      <c r="MTN68" s="57"/>
      <c r="MTO68" s="59" t="s">
        <v>77</v>
      </c>
      <c r="MTP68" s="59" t="s">
        <v>78</v>
      </c>
      <c r="MTQ68" s="59" t="s">
        <v>79</v>
      </c>
      <c r="MTR68" s="59" t="s">
        <v>80</v>
      </c>
      <c r="MTS68" s="59" t="s">
        <v>81</v>
      </c>
      <c r="MTT68" s="59" t="s">
        <v>64</v>
      </c>
      <c r="MTU68" s="59" t="s">
        <v>98</v>
      </c>
      <c r="MTV68" s="59" t="s">
        <v>124</v>
      </c>
      <c r="MTW68" s="59" t="s">
        <v>101</v>
      </c>
      <c r="MTX68" s="56"/>
      <c r="MTY68" s="57"/>
      <c r="MTZ68" s="57"/>
      <c r="MUA68" s="57"/>
      <c r="MUB68" s="57"/>
      <c r="MUC68" s="57"/>
      <c r="MUD68" s="57"/>
      <c r="MUE68" s="59" t="s">
        <v>77</v>
      </c>
      <c r="MUF68" s="59" t="s">
        <v>78</v>
      </c>
      <c r="MUG68" s="59" t="s">
        <v>79</v>
      </c>
      <c r="MUH68" s="59" t="s">
        <v>80</v>
      </c>
      <c r="MUI68" s="59" t="s">
        <v>81</v>
      </c>
      <c r="MUJ68" s="59" t="s">
        <v>64</v>
      </c>
      <c r="MUK68" s="59" t="s">
        <v>98</v>
      </c>
      <c r="MUL68" s="59" t="s">
        <v>124</v>
      </c>
      <c r="MUM68" s="59" t="s">
        <v>101</v>
      </c>
      <c r="MUN68" s="56"/>
      <c r="MUO68" s="57"/>
      <c r="MUP68" s="57"/>
      <c r="MUQ68" s="57"/>
      <c r="MUR68" s="57"/>
      <c r="MUS68" s="57"/>
      <c r="MUT68" s="57"/>
      <c r="MUU68" s="59" t="s">
        <v>77</v>
      </c>
      <c r="MUV68" s="59" t="s">
        <v>78</v>
      </c>
      <c r="MUW68" s="59" t="s">
        <v>79</v>
      </c>
      <c r="MUX68" s="59" t="s">
        <v>80</v>
      </c>
      <c r="MUY68" s="59" t="s">
        <v>81</v>
      </c>
      <c r="MUZ68" s="59" t="s">
        <v>64</v>
      </c>
      <c r="MVA68" s="59" t="s">
        <v>98</v>
      </c>
      <c r="MVB68" s="59" t="s">
        <v>124</v>
      </c>
      <c r="MVC68" s="59" t="s">
        <v>101</v>
      </c>
      <c r="MVD68" s="56"/>
      <c r="MVE68" s="57"/>
      <c r="MVF68" s="57"/>
      <c r="MVG68" s="57"/>
      <c r="MVH68" s="57"/>
      <c r="MVI68" s="57"/>
      <c r="MVJ68" s="57"/>
      <c r="MVK68" s="59" t="s">
        <v>77</v>
      </c>
      <c r="MVL68" s="59" t="s">
        <v>78</v>
      </c>
      <c r="MVM68" s="59" t="s">
        <v>79</v>
      </c>
      <c r="MVN68" s="59" t="s">
        <v>80</v>
      </c>
      <c r="MVO68" s="59" t="s">
        <v>81</v>
      </c>
      <c r="MVP68" s="59" t="s">
        <v>64</v>
      </c>
      <c r="MVQ68" s="59" t="s">
        <v>98</v>
      </c>
      <c r="MVR68" s="59" t="s">
        <v>124</v>
      </c>
      <c r="MVS68" s="59" t="s">
        <v>101</v>
      </c>
      <c r="MVT68" s="56"/>
      <c r="MVU68" s="57"/>
      <c r="MVV68" s="57"/>
      <c r="MVW68" s="57"/>
      <c r="MVX68" s="57"/>
      <c r="MVY68" s="57"/>
      <c r="MVZ68" s="57"/>
      <c r="MWA68" s="59" t="s">
        <v>77</v>
      </c>
      <c r="MWB68" s="59" t="s">
        <v>78</v>
      </c>
      <c r="MWC68" s="59" t="s">
        <v>79</v>
      </c>
      <c r="MWD68" s="59" t="s">
        <v>80</v>
      </c>
      <c r="MWE68" s="59" t="s">
        <v>81</v>
      </c>
      <c r="MWF68" s="59" t="s">
        <v>64</v>
      </c>
      <c r="MWG68" s="59" t="s">
        <v>98</v>
      </c>
      <c r="MWH68" s="59" t="s">
        <v>124</v>
      </c>
      <c r="MWI68" s="59" t="s">
        <v>101</v>
      </c>
      <c r="MWJ68" s="56"/>
      <c r="MWK68" s="57"/>
      <c r="MWL68" s="57"/>
      <c r="MWM68" s="57"/>
      <c r="MWN68" s="57"/>
      <c r="MWO68" s="57"/>
      <c r="MWP68" s="57"/>
      <c r="MWQ68" s="59" t="s">
        <v>77</v>
      </c>
      <c r="MWR68" s="59" t="s">
        <v>78</v>
      </c>
      <c r="MWS68" s="59" t="s">
        <v>79</v>
      </c>
      <c r="MWT68" s="59" t="s">
        <v>80</v>
      </c>
      <c r="MWU68" s="59" t="s">
        <v>81</v>
      </c>
      <c r="MWV68" s="59" t="s">
        <v>64</v>
      </c>
      <c r="MWW68" s="59" t="s">
        <v>98</v>
      </c>
      <c r="MWX68" s="59" t="s">
        <v>124</v>
      </c>
      <c r="MWY68" s="59" t="s">
        <v>101</v>
      </c>
      <c r="MWZ68" s="56"/>
      <c r="MXA68" s="57"/>
      <c r="MXB68" s="57"/>
      <c r="MXC68" s="57"/>
      <c r="MXD68" s="57"/>
      <c r="MXE68" s="57"/>
      <c r="MXF68" s="57"/>
      <c r="MXG68" s="59" t="s">
        <v>77</v>
      </c>
      <c r="MXH68" s="59" t="s">
        <v>78</v>
      </c>
      <c r="MXI68" s="59" t="s">
        <v>79</v>
      </c>
      <c r="MXJ68" s="59" t="s">
        <v>80</v>
      </c>
      <c r="MXK68" s="59" t="s">
        <v>81</v>
      </c>
      <c r="MXL68" s="59" t="s">
        <v>64</v>
      </c>
      <c r="MXM68" s="59" t="s">
        <v>98</v>
      </c>
      <c r="MXN68" s="59" t="s">
        <v>124</v>
      </c>
      <c r="MXO68" s="59" t="s">
        <v>101</v>
      </c>
      <c r="MXP68" s="56"/>
      <c r="MXQ68" s="57"/>
      <c r="MXR68" s="57"/>
      <c r="MXS68" s="57"/>
      <c r="MXT68" s="57"/>
      <c r="MXU68" s="57"/>
      <c r="MXV68" s="57"/>
      <c r="MXW68" s="59" t="s">
        <v>77</v>
      </c>
      <c r="MXX68" s="59" t="s">
        <v>78</v>
      </c>
      <c r="MXY68" s="59" t="s">
        <v>79</v>
      </c>
      <c r="MXZ68" s="59" t="s">
        <v>80</v>
      </c>
      <c r="MYA68" s="59" t="s">
        <v>81</v>
      </c>
      <c r="MYB68" s="59" t="s">
        <v>64</v>
      </c>
      <c r="MYC68" s="59" t="s">
        <v>98</v>
      </c>
      <c r="MYD68" s="59" t="s">
        <v>124</v>
      </c>
      <c r="MYE68" s="59" t="s">
        <v>101</v>
      </c>
      <c r="MYF68" s="56"/>
      <c r="MYG68" s="57"/>
      <c r="MYH68" s="57"/>
      <c r="MYI68" s="57"/>
      <c r="MYJ68" s="57"/>
      <c r="MYK68" s="57"/>
      <c r="MYL68" s="57"/>
      <c r="MYM68" s="59" t="s">
        <v>77</v>
      </c>
      <c r="MYN68" s="59" t="s">
        <v>78</v>
      </c>
      <c r="MYO68" s="59" t="s">
        <v>79</v>
      </c>
      <c r="MYP68" s="59" t="s">
        <v>80</v>
      </c>
      <c r="MYQ68" s="59" t="s">
        <v>81</v>
      </c>
      <c r="MYR68" s="59" t="s">
        <v>64</v>
      </c>
      <c r="MYS68" s="59" t="s">
        <v>98</v>
      </c>
      <c r="MYT68" s="59" t="s">
        <v>124</v>
      </c>
      <c r="MYU68" s="59" t="s">
        <v>101</v>
      </c>
      <c r="MYV68" s="56"/>
      <c r="MYW68" s="57"/>
      <c r="MYX68" s="57"/>
      <c r="MYY68" s="57"/>
      <c r="MYZ68" s="57"/>
      <c r="MZA68" s="57"/>
      <c r="MZB68" s="57"/>
      <c r="MZC68" s="59" t="s">
        <v>77</v>
      </c>
      <c r="MZD68" s="59" t="s">
        <v>78</v>
      </c>
      <c r="MZE68" s="59" t="s">
        <v>79</v>
      </c>
      <c r="MZF68" s="59" t="s">
        <v>80</v>
      </c>
      <c r="MZG68" s="59" t="s">
        <v>81</v>
      </c>
      <c r="MZH68" s="59" t="s">
        <v>64</v>
      </c>
      <c r="MZI68" s="59" t="s">
        <v>98</v>
      </c>
      <c r="MZJ68" s="59" t="s">
        <v>124</v>
      </c>
      <c r="MZK68" s="59" t="s">
        <v>101</v>
      </c>
      <c r="MZL68" s="56"/>
      <c r="MZM68" s="57"/>
      <c r="MZN68" s="57"/>
      <c r="MZO68" s="57"/>
      <c r="MZP68" s="57"/>
      <c r="MZQ68" s="57"/>
      <c r="MZR68" s="57"/>
      <c r="MZS68" s="59" t="s">
        <v>77</v>
      </c>
      <c r="MZT68" s="59" t="s">
        <v>78</v>
      </c>
      <c r="MZU68" s="59" t="s">
        <v>79</v>
      </c>
      <c r="MZV68" s="59" t="s">
        <v>80</v>
      </c>
      <c r="MZW68" s="59" t="s">
        <v>81</v>
      </c>
      <c r="MZX68" s="59" t="s">
        <v>64</v>
      </c>
      <c r="MZY68" s="59" t="s">
        <v>98</v>
      </c>
      <c r="MZZ68" s="59" t="s">
        <v>124</v>
      </c>
      <c r="NAA68" s="59" t="s">
        <v>101</v>
      </c>
      <c r="NAB68" s="56"/>
      <c r="NAC68" s="57"/>
      <c r="NAD68" s="57"/>
      <c r="NAE68" s="57"/>
      <c r="NAF68" s="57"/>
      <c r="NAG68" s="57"/>
      <c r="NAH68" s="57"/>
      <c r="NAI68" s="59" t="s">
        <v>77</v>
      </c>
      <c r="NAJ68" s="59" t="s">
        <v>78</v>
      </c>
      <c r="NAK68" s="59" t="s">
        <v>79</v>
      </c>
      <c r="NAL68" s="59" t="s">
        <v>80</v>
      </c>
      <c r="NAM68" s="59" t="s">
        <v>81</v>
      </c>
      <c r="NAN68" s="59" t="s">
        <v>64</v>
      </c>
      <c r="NAO68" s="59" t="s">
        <v>98</v>
      </c>
      <c r="NAP68" s="59" t="s">
        <v>124</v>
      </c>
      <c r="NAQ68" s="59" t="s">
        <v>101</v>
      </c>
      <c r="NAR68" s="56"/>
      <c r="NAS68" s="57"/>
      <c r="NAT68" s="57"/>
      <c r="NAU68" s="57"/>
      <c r="NAV68" s="57"/>
      <c r="NAW68" s="57"/>
      <c r="NAX68" s="57"/>
      <c r="NAY68" s="59" t="s">
        <v>77</v>
      </c>
      <c r="NAZ68" s="59" t="s">
        <v>78</v>
      </c>
      <c r="NBA68" s="59" t="s">
        <v>79</v>
      </c>
      <c r="NBB68" s="59" t="s">
        <v>80</v>
      </c>
      <c r="NBC68" s="59" t="s">
        <v>81</v>
      </c>
      <c r="NBD68" s="59" t="s">
        <v>64</v>
      </c>
      <c r="NBE68" s="59" t="s">
        <v>98</v>
      </c>
      <c r="NBF68" s="59" t="s">
        <v>124</v>
      </c>
      <c r="NBG68" s="59" t="s">
        <v>101</v>
      </c>
      <c r="NBH68" s="56"/>
      <c r="NBI68" s="57"/>
      <c r="NBJ68" s="57"/>
      <c r="NBK68" s="57"/>
      <c r="NBL68" s="57"/>
      <c r="NBM68" s="57"/>
      <c r="NBN68" s="57"/>
      <c r="NBO68" s="59" t="s">
        <v>77</v>
      </c>
      <c r="NBP68" s="59" t="s">
        <v>78</v>
      </c>
      <c r="NBQ68" s="59" t="s">
        <v>79</v>
      </c>
      <c r="NBR68" s="59" t="s">
        <v>80</v>
      </c>
      <c r="NBS68" s="59" t="s">
        <v>81</v>
      </c>
      <c r="NBT68" s="59" t="s">
        <v>64</v>
      </c>
      <c r="NBU68" s="59" t="s">
        <v>98</v>
      </c>
      <c r="NBV68" s="59" t="s">
        <v>124</v>
      </c>
      <c r="NBW68" s="59" t="s">
        <v>101</v>
      </c>
      <c r="NBX68" s="56"/>
      <c r="NBY68" s="57"/>
      <c r="NBZ68" s="57"/>
      <c r="NCA68" s="57"/>
      <c r="NCB68" s="57"/>
      <c r="NCC68" s="57"/>
      <c r="NCD68" s="57"/>
      <c r="NCE68" s="59" t="s">
        <v>77</v>
      </c>
      <c r="NCF68" s="59" t="s">
        <v>78</v>
      </c>
      <c r="NCG68" s="59" t="s">
        <v>79</v>
      </c>
      <c r="NCH68" s="59" t="s">
        <v>80</v>
      </c>
      <c r="NCI68" s="59" t="s">
        <v>81</v>
      </c>
      <c r="NCJ68" s="59" t="s">
        <v>64</v>
      </c>
      <c r="NCK68" s="59" t="s">
        <v>98</v>
      </c>
      <c r="NCL68" s="59" t="s">
        <v>124</v>
      </c>
      <c r="NCM68" s="59" t="s">
        <v>101</v>
      </c>
      <c r="NCN68" s="56"/>
      <c r="NCO68" s="57"/>
      <c r="NCP68" s="57"/>
      <c r="NCQ68" s="57"/>
      <c r="NCR68" s="57"/>
      <c r="NCS68" s="57"/>
      <c r="NCT68" s="57"/>
      <c r="NCU68" s="59" t="s">
        <v>77</v>
      </c>
      <c r="NCV68" s="59" t="s">
        <v>78</v>
      </c>
      <c r="NCW68" s="59" t="s">
        <v>79</v>
      </c>
      <c r="NCX68" s="59" t="s">
        <v>80</v>
      </c>
      <c r="NCY68" s="59" t="s">
        <v>81</v>
      </c>
      <c r="NCZ68" s="59" t="s">
        <v>64</v>
      </c>
      <c r="NDA68" s="59" t="s">
        <v>98</v>
      </c>
      <c r="NDB68" s="59" t="s">
        <v>124</v>
      </c>
      <c r="NDC68" s="59" t="s">
        <v>101</v>
      </c>
      <c r="NDD68" s="56"/>
      <c r="NDE68" s="57"/>
      <c r="NDF68" s="57"/>
      <c r="NDG68" s="57"/>
      <c r="NDH68" s="57"/>
      <c r="NDI68" s="57"/>
      <c r="NDJ68" s="57"/>
      <c r="NDK68" s="59" t="s">
        <v>77</v>
      </c>
      <c r="NDL68" s="59" t="s">
        <v>78</v>
      </c>
      <c r="NDM68" s="59" t="s">
        <v>79</v>
      </c>
      <c r="NDN68" s="59" t="s">
        <v>80</v>
      </c>
      <c r="NDO68" s="59" t="s">
        <v>81</v>
      </c>
      <c r="NDP68" s="59" t="s">
        <v>64</v>
      </c>
      <c r="NDQ68" s="59" t="s">
        <v>98</v>
      </c>
      <c r="NDR68" s="59" t="s">
        <v>124</v>
      </c>
      <c r="NDS68" s="59" t="s">
        <v>101</v>
      </c>
      <c r="NDT68" s="56"/>
      <c r="NDU68" s="57"/>
      <c r="NDV68" s="57"/>
      <c r="NDW68" s="57"/>
      <c r="NDX68" s="57"/>
      <c r="NDY68" s="57"/>
      <c r="NDZ68" s="57"/>
      <c r="NEA68" s="59" t="s">
        <v>77</v>
      </c>
      <c r="NEB68" s="59" t="s">
        <v>78</v>
      </c>
      <c r="NEC68" s="59" t="s">
        <v>79</v>
      </c>
      <c r="NED68" s="59" t="s">
        <v>80</v>
      </c>
      <c r="NEE68" s="59" t="s">
        <v>81</v>
      </c>
      <c r="NEF68" s="59" t="s">
        <v>64</v>
      </c>
      <c r="NEG68" s="59" t="s">
        <v>98</v>
      </c>
      <c r="NEH68" s="59" t="s">
        <v>124</v>
      </c>
      <c r="NEI68" s="59" t="s">
        <v>101</v>
      </c>
      <c r="NEJ68" s="56"/>
      <c r="NEK68" s="57"/>
      <c r="NEL68" s="57"/>
      <c r="NEM68" s="57"/>
      <c r="NEN68" s="57"/>
      <c r="NEO68" s="57"/>
      <c r="NEP68" s="57"/>
      <c r="NEQ68" s="59" t="s">
        <v>77</v>
      </c>
      <c r="NER68" s="59" t="s">
        <v>78</v>
      </c>
      <c r="NES68" s="59" t="s">
        <v>79</v>
      </c>
      <c r="NET68" s="59" t="s">
        <v>80</v>
      </c>
      <c r="NEU68" s="59" t="s">
        <v>81</v>
      </c>
      <c r="NEV68" s="59" t="s">
        <v>64</v>
      </c>
      <c r="NEW68" s="59" t="s">
        <v>98</v>
      </c>
      <c r="NEX68" s="59" t="s">
        <v>124</v>
      </c>
      <c r="NEY68" s="59" t="s">
        <v>101</v>
      </c>
      <c r="NEZ68" s="56"/>
      <c r="NFA68" s="57"/>
      <c r="NFB68" s="57"/>
      <c r="NFC68" s="57"/>
      <c r="NFD68" s="57"/>
      <c r="NFE68" s="57"/>
      <c r="NFF68" s="57"/>
      <c r="NFG68" s="59" t="s">
        <v>77</v>
      </c>
      <c r="NFH68" s="59" t="s">
        <v>78</v>
      </c>
      <c r="NFI68" s="59" t="s">
        <v>79</v>
      </c>
      <c r="NFJ68" s="59" t="s">
        <v>80</v>
      </c>
      <c r="NFK68" s="59" t="s">
        <v>81</v>
      </c>
      <c r="NFL68" s="59" t="s">
        <v>64</v>
      </c>
      <c r="NFM68" s="59" t="s">
        <v>98</v>
      </c>
      <c r="NFN68" s="59" t="s">
        <v>124</v>
      </c>
      <c r="NFO68" s="59" t="s">
        <v>101</v>
      </c>
      <c r="NFP68" s="56"/>
      <c r="NFQ68" s="57"/>
      <c r="NFR68" s="57"/>
      <c r="NFS68" s="57"/>
      <c r="NFT68" s="57"/>
      <c r="NFU68" s="57"/>
      <c r="NFV68" s="57"/>
      <c r="NFW68" s="59" t="s">
        <v>77</v>
      </c>
      <c r="NFX68" s="59" t="s">
        <v>78</v>
      </c>
      <c r="NFY68" s="59" t="s">
        <v>79</v>
      </c>
      <c r="NFZ68" s="59" t="s">
        <v>80</v>
      </c>
      <c r="NGA68" s="59" t="s">
        <v>81</v>
      </c>
      <c r="NGB68" s="59" t="s">
        <v>64</v>
      </c>
      <c r="NGC68" s="59" t="s">
        <v>98</v>
      </c>
      <c r="NGD68" s="59" t="s">
        <v>124</v>
      </c>
      <c r="NGE68" s="59" t="s">
        <v>101</v>
      </c>
      <c r="NGF68" s="56"/>
      <c r="NGG68" s="57"/>
      <c r="NGH68" s="57"/>
      <c r="NGI68" s="57"/>
      <c r="NGJ68" s="57"/>
      <c r="NGK68" s="57"/>
      <c r="NGL68" s="57"/>
      <c r="NGM68" s="59" t="s">
        <v>77</v>
      </c>
      <c r="NGN68" s="59" t="s">
        <v>78</v>
      </c>
      <c r="NGO68" s="59" t="s">
        <v>79</v>
      </c>
      <c r="NGP68" s="59" t="s">
        <v>80</v>
      </c>
      <c r="NGQ68" s="59" t="s">
        <v>81</v>
      </c>
      <c r="NGR68" s="59" t="s">
        <v>64</v>
      </c>
      <c r="NGS68" s="59" t="s">
        <v>98</v>
      </c>
      <c r="NGT68" s="59" t="s">
        <v>124</v>
      </c>
      <c r="NGU68" s="59" t="s">
        <v>101</v>
      </c>
      <c r="NGV68" s="56"/>
      <c r="NGW68" s="57"/>
      <c r="NGX68" s="57"/>
      <c r="NGY68" s="57"/>
      <c r="NGZ68" s="57"/>
      <c r="NHA68" s="57"/>
      <c r="NHB68" s="57"/>
      <c r="NHC68" s="59" t="s">
        <v>77</v>
      </c>
      <c r="NHD68" s="59" t="s">
        <v>78</v>
      </c>
      <c r="NHE68" s="59" t="s">
        <v>79</v>
      </c>
      <c r="NHF68" s="59" t="s">
        <v>80</v>
      </c>
      <c r="NHG68" s="59" t="s">
        <v>81</v>
      </c>
      <c r="NHH68" s="59" t="s">
        <v>64</v>
      </c>
      <c r="NHI68" s="59" t="s">
        <v>98</v>
      </c>
      <c r="NHJ68" s="59" t="s">
        <v>124</v>
      </c>
      <c r="NHK68" s="59" t="s">
        <v>101</v>
      </c>
      <c r="NHL68" s="56"/>
      <c r="NHM68" s="57"/>
      <c r="NHN68" s="57"/>
      <c r="NHO68" s="57"/>
      <c r="NHP68" s="57"/>
      <c r="NHQ68" s="57"/>
      <c r="NHR68" s="57"/>
      <c r="NHS68" s="59" t="s">
        <v>77</v>
      </c>
      <c r="NHT68" s="59" t="s">
        <v>78</v>
      </c>
      <c r="NHU68" s="59" t="s">
        <v>79</v>
      </c>
      <c r="NHV68" s="59" t="s">
        <v>80</v>
      </c>
      <c r="NHW68" s="59" t="s">
        <v>81</v>
      </c>
      <c r="NHX68" s="59" t="s">
        <v>64</v>
      </c>
      <c r="NHY68" s="59" t="s">
        <v>98</v>
      </c>
      <c r="NHZ68" s="59" t="s">
        <v>124</v>
      </c>
      <c r="NIA68" s="59" t="s">
        <v>101</v>
      </c>
      <c r="NIB68" s="56"/>
      <c r="NIC68" s="57"/>
      <c r="NID68" s="57"/>
      <c r="NIE68" s="57"/>
      <c r="NIF68" s="57"/>
      <c r="NIG68" s="57"/>
      <c r="NIH68" s="57"/>
      <c r="NII68" s="59" t="s">
        <v>77</v>
      </c>
      <c r="NIJ68" s="59" t="s">
        <v>78</v>
      </c>
      <c r="NIK68" s="59" t="s">
        <v>79</v>
      </c>
      <c r="NIL68" s="59" t="s">
        <v>80</v>
      </c>
      <c r="NIM68" s="59" t="s">
        <v>81</v>
      </c>
      <c r="NIN68" s="59" t="s">
        <v>64</v>
      </c>
      <c r="NIO68" s="59" t="s">
        <v>98</v>
      </c>
      <c r="NIP68" s="59" t="s">
        <v>124</v>
      </c>
      <c r="NIQ68" s="59" t="s">
        <v>101</v>
      </c>
      <c r="NIR68" s="56"/>
      <c r="NIS68" s="57"/>
      <c r="NIT68" s="57"/>
      <c r="NIU68" s="57"/>
      <c r="NIV68" s="57"/>
      <c r="NIW68" s="57"/>
      <c r="NIX68" s="57"/>
      <c r="NIY68" s="59" t="s">
        <v>77</v>
      </c>
      <c r="NIZ68" s="59" t="s">
        <v>78</v>
      </c>
      <c r="NJA68" s="59" t="s">
        <v>79</v>
      </c>
      <c r="NJB68" s="59" t="s">
        <v>80</v>
      </c>
      <c r="NJC68" s="59" t="s">
        <v>81</v>
      </c>
      <c r="NJD68" s="59" t="s">
        <v>64</v>
      </c>
      <c r="NJE68" s="59" t="s">
        <v>98</v>
      </c>
      <c r="NJF68" s="59" t="s">
        <v>124</v>
      </c>
      <c r="NJG68" s="59" t="s">
        <v>101</v>
      </c>
      <c r="NJH68" s="56"/>
      <c r="NJI68" s="57"/>
      <c r="NJJ68" s="57"/>
      <c r="NJK68" s="57"/>
      <c r="NJL68" s="57"/>
      <c r="NJM68" s="57"/>
      <c r="NJN68" s="57"/>
      <c r="NJO68" s="59" t="s">
        <v>77</v>
      </c>
      <c r="NJP68" s="59" t="s">
        <v>78</v>
      </c>
      <c r="NJQ68" s="59" t="s">
        <v>79</v>
      </c>
      <c r="NJR68" s="59" t="s">
        <v>80</v>
      </c>
      <c r="NJS68" s="59" t="s">
        <v>81</v>
      </c>
      <c r="NJT68" s="59" t="s">
        <v>64</v>
      </c>
      <c r="NJU68" s="59" t="s">
        <v>98</v>
      </c>
      <c r="NJV68" s="59" t="s">
        <v>124</v>
      </c>
      <c r="NJW68" s="59" t="s">
        <v>101</v>
      </c>
      <c r="NJX68" s="56"/>
      <c r="NJY68" s="57"/>
      <c r="NJZ68" s="57"/>
      <c r="NKA68" s="57"/>
      <c r="NKB68" s="57"/>
      <c r="NKC68" s="57"/>
      <c r="NKD68" s="57"/>
      <c r="NKE68" s="59" t="s">
        <v>77</v>
      </c>
      <c r="NKF68" s="59" t="s">
        <v>78</v>
      </c>
      <c r="NKG68" s="59" t="s">
        <v>79</v>
      </c>
      <c r="NKH68" s="59" t="s">
        <v>80</v>
      </c>
      <c r="NKI68" s="59" t="s">
        <v>81</v>
      </c>
      <c r="NKJ68" s="59" t="s">
        <v>64</v>
      </c>
      <c r="NKK68" s="59" t="s">
        <v>98</v>
      </c>
      <c r="NKL68" s="59" t="s">
        <v>124</v>
      </c>
      <c r="NKM68" s="59" t="s">
        <v>101</v>
      </c>
      <c r="NKN68" s="56"/>
      <c r="NKO68" s="57"/>
      <c r="NKP68" s="57"/>
      <c r="NKQ68" s="57"/>
      <c r="NKR68" s="57"/>
      <c r="NKS68" s="57"/>
      <c r="NKT68" s="57"/>
      <c r="NKU68" s="59" t="s">
        <v>77</v>
      </c>
      <c r="NKV68" s="59" t="s">
        <v>78</v>
      </c>
      <c r="NKW68" s="59" t="s">
        <v>79</v>
      </c>
      <c r="NKX68" s="59" t="s">
        <v>80</v>
      </c>
      <c r="NKY68" s="59" t="s">
        <v>81</v>
      </c>
      <c r="NKZ68" s="59" t="s">
        <v>64</v>
      </c>
      <c r="NLA68" s="59" t="s">
        <v>98</v>
      </c>
      <c r="NLB68" s="59" t="s">
        <v>124</v>
      </c>
      <c r="NLC68" s="59" t="s">
        <v>101</v>
      </c>
      <c r="NLD68" s="56"/>
      <c r="NLE68" s="57"/>
      <c r="NLF68" s="57"/>
      <c r="NLG68" s="57"/>
      <c r="NLH68" s="57"/>
      <c r="NLI68" s="57"/>
      <c r="NLJ68" s="57"/>
      <c r="NLK68" s="59" t="s">
        <v>77</v>
      </c>
      <c r="NLL68" s="59" t="s">
        <v>78</v>
      </c>
      <c r="NLM68" s="59" t="s">
        <v>79</v>
      </c>
      <c r="NLN68" s="59" t="s">
        <v>80</v>
      </c>
      <c r="NLO68" s="59" t="s">
        <v>81</v>
      </c>
      <c r="NLP68" s="59" t="s">
        <v>64</v>
      </c>
      <c r="NLQ68" s="59" t="s">
        <v>98</v>
      </c>
      <c r="NLR68" s="59" t="s">
        <v>124</v>
      </c>
      <c r="NLS68" s="59" t="s">
        <v>101</v>
      </c>
      <c r="NLT68" s="56"/>
      <c r="NLU68" s="57"/>
      <c r="NLV68" s="57"/>
      <c r="NLW68" s="57"/>
      <c r="NLX68" s="57"/>
      <c r="NLY68" s="57"/>
      <c r="NLZ68" s="57"/>
      <c r="NMA68" s="59" t="s">
        <v>77</v>
      </c>
      <c r="NMB68" s="59" t="s">
        <v>78</v>
      </c>
      <c r="NMC68" s="59" t="s">
        <v>79</v>
      </c>
      <c r="NMD68" s="59" t="s">
        <v>80</v>
      </c>
      <c r="NME68" s="59" t="s">
        <v>81</v>
      </c>
      <c r="NMF68" s="59" t="s">
        <v>64</v>
      </c>
      <c r="NMG68" s="59" t="s">
        <v>98</v>
      </c>
      <c r="NMH68" s="59" t="s">
        <v>124</v>
      </c>
      <c r="NMI68" s="59" t="s">
        <v>101</v>
      </c>
      <c r="NMJ68" s="56"/>
      <c r="NMK68" s="57"/>
      <c r="NML68" s="57"/>
      <c r="NMM68" s="57"/>
      <c r="NMN68" s="57"/>
      <c r="NMO68" s="57"/>
      <c r="NMP68" s="57"/>
      <c r="NMQ68" s="59" t="s">
        <v>77</v>
      </c>
      <c r="NMR68" s="59" t="s">
        <v>78</v>
      </c>
      <c r="NMS68" s="59" t="s">
        <v>79</v>
      </c>
      <c r="NMT68" s="59" t="s">
        <v>80</v>
      </c>
      <c r="NMU68" s="59" t="s">
        <v>81</v>
      </c>
      <c r="NMV68" s="59" t="s">
        <v>64</v>
      </c>
      <c r="NMW68" s="59" t="s">
        <v>98</v>
      </c>
      <c r="NMX68" s="59" t="s">
        <v>124</v>
      </c>
      <c r="NMY68" s="59" t="s">
        <v>101</v>
      </c>
      <c r="NMZ68" s="56"/>
      <c r="NNA68" s="57"/>
      <c r="NNB68" s="57"/>
      <c r="NNC68" s="57"/>
      <c r="NND68" s="57"/>
      <c r="NNE68" s="57"/>
      <c r="NNF68" s="57"/>
      <c r="NNG68" s="59" t="s">
        <v>77</v>
      </c>
      <c r="NNH68" s="59" t="s">
        <v>78</v>
      </c>
      <c r="NNI68" s="59" t="s">
        <v>79</v>
      </c>
      <c r="NNJ68" s="59" t="s">
        <v>80</v>
      </c>
      <c r="NNK68" s="59" t="s">
        <v>81</v>
      </c>
      <c r="NNL68" s="59" t="s">
        <v>64</v>
      </c>
      <c r="NNM68" s="59" t="s">
        <v>98</v>
      </c>
      <c r="NNN68" s="59" t="s">
        <v>124</v>
      </c>
      <c r="NNO68" s="59" t="s">
        <v>101</v>
      </c>
      <c r="NNP68" s="56"/>
      <c r="NNQ68" s="57"/>
      <c r="NNR68" s="57"/>
      <c r="NNS68" s="57"/>
      <c r="NNT68" s="57"/>
      <c r="NNU68" s="57"/>
      <c r="NNV68" s="57"/>
      <c r="NNW68" s="59" t="s">
        <v>77</v>
      </c>
      <c r="NNX68" s="59" t="s">
        <v>78</v>
      </c>
      <c r="NNY68" s="59" t="s">
        <v>79</v>
      </c>
      <c r="NNZ68" s="59" t="s">
        <v>80</v>
      </c>
      <c r="NOA68" s="59" t="s">
        <v>81</v>
      </c>
      <c r="NOB68" s="59" t="s">
        <v>64</v>
      </c>
      <c r="NOC68" s="59" t="s">
        <v>98</v>
      </c>
      <c r="NOD68" s="59" t="s">
        <v>124</v>
      </c>
      <c r="NOE68" s="59" t="s">
        <v>101</v>
      </c>
      <c r="NOF68" s="56"/>
      <c r="NOG68" s="57"/>
      <c r="NOH68" s="57"/>
      <c r="NOI68" s="57"/>
      <c r="NOJ68" s="57"/>
      <c r="NOK68" s="57"/>
      <c r="NOL68" s="57"/>
      <c r="NOM68" s="59" t="s">
        <v>77</v>
      </c>
      <c r="NON68" s="59" t="s">
        <v>78</v>
      </c>
      <c r="NOO68" s="59" t="s">
        <v>79</v>
      </c>
      <c r="NOP68" s="59" t="s">
        <v>80</v>
      </c>
      <c r="NOQ68" s="59" t="s">
        <v>81</v>
      </c>
      <c r="NOR68" s="59" t="s">
        <v>64</v>
      </c>
      <c r="NOS68" s="59" t="s">
        <v>98</v>
      </c>
      <c r="NOT68" s="59" t="s">
        <v>124</v>
      </c>
      <c r="NOU68" s="59" t="s">
        <v>101</v>
      </c>
      <c r="NOV68" s="56"/>
      <c r="NOW68" s="57"/>
      <c r="NOX68" s="57"/>
      <c r="NOY68" s="57"/>
      <c r="NOZ68" s="57"/>
      <c r="NPA68" s="57"/>
      <c r="NPB68" s="57"/>
      <c r="NPC68" s="59" t="s">
        <v>77</v>
      </c>
      <c r="NPD68" s="59" t="s">
        <v>78</v>
      </c>
      <c r="NPE68" s="59" t="s">
        <v>79</v>
      </c>
      <c r="NPF68" s="59" t="s">
        <v>80</v>
      </c>
      <c r="NPG68" s="59" t="s">
        <v>81</v>
      </c>
      <c r="NPH68" s="59" t="s">
        <v>64</v>
      </c>
      <c r="NPI68" s="59" t="s">
        <v>98</v>
      </c>
      <c r="NPJ68" s="59" t="s">
        <v>124</v>
      </c>
      <c r="NPK68" s="59" t="s">
        <v>101</v>
      </c>
      <c r="NPL68" s="56"/>
      <c r="NPM68" s="57"/>
      <c r="NPN68" s="57"/>
      <c r="NPO68" s="57"/>
      <c r="NPP68" s="57"/>
      <c r="NPQ68" s="57"/>
      <c r="NPR68" s="57"/>
      <c r="NPS68" s="59" t="s">
        <v>77</v>
      </c>
      <c r="NPT68" s="59" t="s">
        <v>78</v>
      </c>
      <c r="NPU68" s="59" t="s">
        <v>79</v>
      </c>
      <c r="NPV68" s="59" t="s">
        <v>80</v>
      </c>
      <c r="NPW68" s="59" t="s">
        <v>81</v>
      </c>
      <c r="NPX68" s="59" t="s">
        <v>64</v>
      </c>
      <c r="NPY68" s="59" t="s">
        <v>98</v>
      </c>
      <c r="NPZ68" s="59" t="s">
        <v>124</v>
      </c>
      <c r="NQA68" s="59" t="s">
        <v>101</v>
      </c>
      <c r="NQB68" s="56"/>
      <c r="NQC68" s="57"/>
      <c r="NQD68" s="57"/>
      <c r="NQE68" s="57"/>
      <c r="NQF68" s="57"/>
      <c r="NQG68" s="57"/>
      <c r="NQH68" s="57"/>
      <c r="NQI68" s="59" t="s">
        <v>77</v>
      </c>
      <c r="NQJ68" s="59" t="s">
        <v>78</v>
      </c>
      <c r="NQK68" s="59" t="s">
        <v>79</v>
      </c>
      <c r="NQL68" s="59" t="s">
        <v>80</v>
      </c>
      <c r="NQM68" s="59" t="s">
        <v>81</v>
      </c>
      <c r="NQN68" s="59" t="s">
        <v>64</v>
      </c>
      <c r="NQO68" s="59" t="s">
        <v>98</v>
      </c>
      <c r="NQP68" s="59" t="s">
        <v>124</v>
      </c>
      <c r="NQQ68" s="59" t="s">
        <v>101</v>
      </c>
      <c r="NQR68" s="56"/>
      <c r="NQS68" s="57"/>
      <c r="NQT68" s="57"/>
      <c r="NQU68" s="57"/>
      <c r="NQV68" s="57"/>
      <c r="NQW68" s="57"/>
      <c r="NQX68" s="57"/>
      <c r="NQY68" s="59" t="s">
        <v>77</v>
      </c>
      <c r="NQZ68" s="59" t="s">
        <v>78</v>
      </c>
      <c r="NRA68" s="59" t="s">
        <v>79</v>
      </c>
      <c r="NRB68" s="59" t="s">
        <v>80</v>
      </c>
      <c r="NRC68" s="59" t="s">
        <v>81</v>
      </c>
      <c r="NRD68" s="59" t="s">
        <v>64</v>
      </c>
      <c r="NRE68" s="59" t="s">
        <v>98</v>
      </c>
      <c r="NRF68" s="59" t="s">
        <v>124</v>
      </c>
      <c r="NRG68" s="59" t="s">
        <v>101</v>
      </c>
      <c r="NRH68" s="56"/>
      <c r="NRI68" s="57"/>
      <c r="NRJ68" s="57"/>
      <c r="NRK68" s="57"/>
      <c r="NRL68" s="57"/>
      <c r="NRM68" s="57"/>
      <c r="NRN68" s="57"/>
      <c r="NRO68" s="59" t="s">
        <v>77</v>
      </c>
      <c r="NRP68" s="59" t="s">
        <v>78</v>
      </c>
      <c r="NRQ68" s="59" t="s">
        <v>79</v>
      </c>
      <c r="NRR68" s="59" t="s">
        <v>80</v>
      </c>
      <c r="NRS68" s="59" t="s">
        <v>81</v>
      </c>
      <c r="NRT68" s="59" t="s">
        <v>64</v>
      </c>
      <c r="NRU68" s="59" t="s">
        <v>98</v>
      </c>
      <c r="NRV68" s="59" t="s">
        <v>124</v>
      </c>
      <c r="NRW68" s="59" t="s">
        <v>101</v>
      </c>
      <c r="NRX68" s="56"/>
      <c r="NRY68" s="57"/>
      <c r="NRZ68" s="57"/>
      <c r="NSA68" s="57"/>
      <c r="NSB68" s="57"/>
      <c r="NSC68" s="57"/>
      <c r="NSD68" s="57"/>
      <c r="NSE68" s="59" t="s">
        <v>77</v>
      </c>
      <c r="NSF68" s="59" t="s">
        <v>78</v>
      </c>
      <c r="NSG68" s="59" t="s">
        <v>79</v>
      </c>
      <c r="NSH68" s="59" t="s">
        <v>80</v>
      </c>
      <c r="NSI68" s="59" t="s">
        <v>81</v>
      </c>
      <c r="NSJ68" s="59" t="s">
        <v>64</v>
      </c>
      <c r="NSK68" s="59" t="s">
        <v>98</v>
      </c>
      <c r="NSL68" s="59" t="s">
        <v>124</v>
      </c>
      <c r="NSM68" s="59" t="s">
        <v>101</v>
      </c>
      <c r="NSN68" s="56"/>
      <c r="NSO68" s="57"/>
      <c r="NSP68" s="57"/>
      <c r="NSQ68" s="57"/>
      <c r="NSR68" s="57"/>
      <c r="NSS68" s="57"/>
      <c r="NST68" s="57"/>
      <c r="NSU68" s="59" t="s">
        <v>77</v>
      </c>
      <c r="NSV68" s="59" t="s">
        <v>78</v>
      </c>
      <c r="NSW68" s="59" t="s">
        <v>79</v>
      </c>
      <c r="NSX68" s="59" t="s">
        <v>80</v>
      </c>
      <c r="NSY68" s="59" t="s">
        <v>81</v>
      </c>
      <c r="NSZ68" s="59" t="s">
        <v>64</v>
      </c>
      <c r="NTA68" s="59" t="s">
        <v>98</v>
      </c>
      <c r="NTB68" s="59" t="s">
        <v>124</v>
      </c>
      <c r="NTC68" s="59" t="s">
        <v>101</v>
      </c>
      <c r="NTD68" s="56"/>
      <c r="NTE68" s="57"/>
      <c r="NTF68" s="57"/>
      <c r="NTG68" s="57"/>
      <c r="NTH68" s="57"/>
      <c r="NTI68" s="57"/>
      <c r="NTJ68" s="57"/>
      <c r="NTK68" s="59" t="s">
        <v>77</v>
      </c>
      <c r="NTL68" s="59" t="s">
        <v>78</v>
      </c>
      <c r="NTM68" s="59" t="s">
        <v>79</v>
      </c>
      <c r="NTN68" s="59" t="s">
        <v>80</v>
      </c>
      <c r="NTO68" s="59" t="s">
        <v>81</v>
      </c>
      <c r="NTP68" s="59" t="s">
        <v>64</v>
      </c>
      <c r="NTQ68" s="59" t="s">
        <v>98</v>
      </c>
      <c r="NTR68" s="59" t="s">
        <v>124</v>
      </c>
      <c r="NTS68" s="59" t="s">
        <v>101</v>
      </c>
      <c r="NTT68" s="56"/>
      <c r="NTU68" s="57"/>
      <c r="NTV68" s="57"/>
      <c r="NTW68" s="57"/>
      <c r="NTX68" s="57"/>
      <c r="NTY68" s="57"/>
      <c r="NTZ68" s="57"/>
      <c r="NUA68" s="59" t="s">
        <v>77</v>
      </c>
      <c r="NUB68" s="59" t="s">
        <v>78</v>
      </c>
      <c r="NUC68" s="59" t="s">
        <v>79</v>
      </c>
      <c r="NUD68" s="59" t="s">
        <v>80</v>
      </c>
      <c r="NUE68" s="59" t="s">
        <v>81</v>
      </c>
      <c r="NUF68" s="59" t="s">
        <v>64</v>
      </c>
      <c r="NUG68" s="59" t="s">
        <v>98</v>
      </c>
      <c r="NUH68" s="59" t="s">
        <v>124</v>
      </c>
      <c r="NUI68" s="59" t="s">
        <v>101</v>
      </c>
      <c r="NUJ68" s="56"/>
      <c r="NUK68" s="57"/>
      <c r="NUL68" s="57"/>
      <c r="NUM68" s="57"/>
      <c r="NUN68" s="57"/>
      <c r="NUO68" s="57"/>
      <c r="NUP68" s="57"/>
      <c r="NUQ68" s="59" t="s">
        <v>77</v>
      </c>
      <c r="NUR68" s="59" t="s">
        <v>78</v>
      </c>
      <c r="NUS68" s="59" t="s">
        <v>79</v>
      </c>
      <c r="NUT68" s="59" t="s">
        <v>80</v>
      </c>
      <c r="NUU68" s="59" t="s">
        <v>81</v>
      </c>
      <c r="NUV68" s="59" t="s">
        <v>64</v>
      </c>
      <c r="NUW68" s="59" t="s">
        <v>98</v>
      </c>
      <c r="NUX68" s="59" t="s">
        <v>124</v>
      </c>
      <c r="NUY68" s="59" t="s">
        <v>101</v>
      </c>
      <c r="NUZ68" s="56"/>
      <c r="NVA68" s="57"/>
      <c r="NVB68" s="57"/>
      <c r="NVC68" s="57"/>
      <c r="NVD68" s="57"/>
      <c r="NVE68" s="57"/>
      <c r="NVF68" s="57"/>
      <c r="NVG68" s="59" t="s">
        <v>77</v>
      </c>
      <c r="NVH68" s="59" t="s">
        <v>78</v>
      </c>
      <c r="NVI68" s="59" t="s">
        <v>79</v>
      </c>
      <c r="NVJ68" s="59" t="s">
        <v>80</v>
      </c>
      <c r="NVK68" s="59" t="s">
        <v>81</v>
      </c>
      <c r="NVL68" s="59" t="s">
        <v>64</v>
      </c>
      <c r="NVM68" s="59" t="s">
        <v>98</v>
      </c>
      <c r="NVN68" s="59" t="s">
        <v>124</v>
      </c>
      <c r="NVO68" s="59" t="s">
        <v>101</v>
      </c>
      <c r="NVP68" s="56"/>
      <c r="NVQ68" s="57"/>
      <c r="NVR68" s="57"/>
      <c r="NVS68" s="57"/>
      <c r="NVT68" s="57"/>
      <c r="NVU68" s="57"/>
      <c r="NVV68" s="57"/>
      <c r="NVW68" s="59" t="s">
        <v>77</v>
      </c>
      <c r="NVX68" s="59" t="s">
        <v>78</v>
      </c>
      <c r="NVY68" s="59" t="s">
        <v>79</v>
      </c>
      <c r="NVZ68" s="59" t="s">
        <v>80</v>
      </c>
      <c r="NWA68" s="59" t="s">
        <v>81</v>
      </c>
      <c r="NWB68" s="59" t="s">
        <v>64</v>
      </c>
      <c r="NWC68" s="59" t="s">
        <v>98</v>
      </c>
      <c r="NWD68" s="59" t="s">
        <v>124</v>
      </c>
      <c r="NWE68" s="59" t="s">
        <v>101</v>
      </c>
      <c r="NWF68" s="56"/>
      <c r="NWG68" s="57"/>
      <c r="NWH68" s="57"/>
      <c r="NWI68" s="57"/>
      <c r="NWJ68" s="57"/>
      <c r="NWK68" s="57"/>
      <c r="NWL68" s="57"/>
      <c r="NWM68" s="59" t="s">
        <v>77</v>
      </c>
      <c r="NWN68" s="59" t="s">
        <v>78</v>
      </c>
      <c r="NWO68" s="59" t="s">
        <v>79</v>
      </c>
      <c r="NWP68" s="59" t="s">
        <v>80</v>
      </c>
      <c r="NWQ68" s="59" t="s">
        <v>81</v>
      </c>
      <c r="NWR68" s="59" t="s">
        <v>64</v>
      </c>
      <c r="NWS68" s="59" t="s">
        <v>98</v>
      </c>
      <c r="NWT68" s="59" t="s">
        <v>124</v>
      </c>
      <c r="NWU68" s="59" t="s">
        <v>101</v>
      </c>
      <c r="NWV68" s="56"/>
      <c r="NWW68" s="57"/>
      <c r="NWX68" s="57"/>
      <c r="NWY68" s="57"/>
      <c r="NWZ68" s="57"/>
      <c r="NXA68" s="57"/>
      <c r="NXB68" s="57"/>
      <c r="NXC68" s="59" t="s">
        <v>77</v>
      </c>
      <c r="NXD68" s="59" t="s">
        <v>78</v>
      </c>
      <c r="NXE68" s="59" t="s">
        <v>79</v>
      </c>
      <c r="NXF68" s="59" t="s">
        <v>80</v>
      </c>
      <c r="NXG68" s="59" t="s">
        <v>81</v>
      </c>
      <c r="NXH68" s="59" t="s">
        <v>64</v>
      </c>
      <c r="NXI68" s="59" t="s">
        <v>98</v>
      </c>
      <c r="NXJ68" s="59" t="s">
        <v>124</v>
      </c>
      <c r="NXK68" s="59" t="s">
        <v>101</v>
      </c>
      <c r="NXL68" s="56"/>
      <c r="NXM68" s="57"/>
      <c r="NXN68" s="57"/>
      <c r="NXO68" s="57"/>
      <c r="NXP68" s="57"/>
      <c r="NXQ68" s="57"/>
      <c r="NXR68" s="57"/>
      <c r="NXS68" s="59" t="s">
        <v>77</v>
      </c>
      <c r="NXT68" s="59" t="s">
        <v>78</v>
      </c>
      <c r="NXU68" s="59" t="s">
        <v>79</v>
      </c>
      <c r="NXV68" s="59" t="s">
        <v>80</v>
      </c>
      <c r="NXW68" s="59" t="s">
        <v>81</v>
      </c>
      <c r="NXX68" s="59" t="s">
        <v>64</v>
      </c>
      <c r="NXY68" s="59" t="s">
        <v>98</v>
      </c>
      <c r="NXZ68" s="59" t="s">
        <v>124</v>
      </c>
      <c r="NYA68" s="59" t="s">
        <v>101</v>
      </c>
      <c r="NYB68" s="56"/>
      <c r="NYC68" s="57"/>
      <c r="NYD68" s="57"/>
      <c r="NYE68" s="57"/>
      <c r="NYF68" s="57"/>
      <c r="NYG68" s="57"/>
      <c r="NYH68" s="57"/>
      <c r="NYI68" s="59" t="s">
        <v>77</v>
      </c>
      <c r="NYJ68" s="59" t="s">
        <v>78</v>
      </c>
      <c r="NYK68" s="59" t="s">
        <v>79</v>
      </c>
      <c r="NYL68" s="59" t="s">
        <v>80</v>
      </c>
      <c r="NYM68" s="59" t="s">
        <v>81</v>
      </c>
      <c r="NYN68" s="59" t="s">
        <v>64</v>
      </c>
      <c r="NYO68" s="59" t="s">
        <v>98</v>
      </c>
      <c r="NYP68" s="59" t="s">
        <v>124</v>
      </c>
      <c r="NYQ68" s="59" t="s">
        <v>101</v>
      </c>
      <c r="NYR68" s="56"/>
      <c r="NYS68" s="57"/>
      <c r="NYT68" s="57"/>
      <c r="NYU68" s="57"/>
      <c r="NYV68" s="57"/>
      <c r="NYW68" s="57"/>
      <c r="NYX68" s="57"/>
      <c r="NYY68" s="59" t="s">
        <v>77</v>
      </c>
      <c r="NYZ68" s="59" t="s">
        <v>78</v>
      </c>
      <c r="NZA68" s="59" t="s">
        <v>79</v>
      </c>
      <c r="NZB68" s="59" t="s">
        <v>80</v>
      </c>
      <c r="NZC68" s="59" t="s">
        <v>81</v>
      </c>
      <c r="NZD68" s="59" t="s">
        <v>64</v>
      </c>
      <c r="NZE68" s="59" t="s">
        <v>98</v>
      </c>
      <c r="NZF68" s="59" t="s">
        <v>124</v>
      </c>
      <c r="NZG68" s="59" t="s">
        <v>101</v>
      </c>
      <c r="NZH68" s="56"/>
      <c r="NZI68" s="57"/>
      <c r="NZJ68" s="57"/>
      <c r="NZK68" s="57"/>
      <c r="NZL68" s="57"/>
      <c r="NZM68" s="57"/>
      <c r="NZN68" s="57"/>
      <c r="NZO68" s="59" t="s">
        <v>77</v>
      </c>
      <c r="NZP68" s="59" t="s">
        <v>78</v>
      </c>
      <c r="NZQ68" s="59" t="s">
        <v>79</v>
      </c>
      <c r="NZR68" s="59" t="s">
        <v>80</v>
      </c>
      <c r="NZS68" s="59" t="s">
        <v>81</v>
      </c>
      <c r="NZT68" s="59" t="s">
        <v>64</v>
      </c>
      <c r="NZU68" s="59" t="s">
        <v>98</v>
      </c>
      <c r="NZV68" s="59" t="s">
        <v>124</v>
      </c>
      <c r="NZW68" s="59" t="s">
        <v>101</v>
      </c>
      <c r="NZX68" s="56"/>
      <c r="NZY68" s="57"/>
      <c r="NZZ68" s="57"/>
      <c r="OAA68" s="57"/>
      <c r="OAB68" s="57"/>
      <c r="OAC68" s="57"/>
      <c r="OAD68" s="57"/>
      <c r="OAE68" s="59" t="s">
        <v>77</v>
      </c>
      <c r="OAF68" s="59" t="s">
        <v>78</v>
      </c>
      <c r="OAG68" s="59" t="s">
        <v>79</v>
      </c>
      <c r="OAH68" s="59" t="s">
        <v>80</v>
      </c>
      <c r="OAI68" s="59" t="s">
        <v>81</v>
      </c>
      <c r="OAJ68" s="59" t="s">
        <v>64</v>
      </c>
      <c r="OAK68" s="59" t="s">
        <v>98</v>
      </c>
      <c r="OAL68" s="59" t="s">
        <v>124</v>
      </c>
      <c r="OAM68" s="59" t="s">
        <v>101</v>
      </c>
      <c r="OAN68" s="56"/>
      <c r="OAO68" s="57"/>
      <c r="OAP68" s="57"/>
      <c r="OAQ68" s="57"/>
      <c r="OAR68" s="57"/>
      <c r="OAS68" s="57"/>
      <c r="OAT68" s="57"/>
      <c r="OAU68" s="59" t="s">
        <v>77</v>
      </c>
      <c r="OAV68" s="59" t="s">
        <v>78</v>
      </c>
      <c r="OAW68" s="59" t="s">
        <v>79</v>
      </c>
      <c r="OAX68" s="59" t="s">
        <v>80</v>
      </c>
      <c r="OAY68" s="59" t="s">
        <v>81</v>
      </c>
      <c r="OAZ68" s="59" t="s">
        <v>64</v>
      </c>
      <c r="OBA68" s="59" t="s">
        <v>98</v>
      </c>
      <c r="OBB68" s="59" t="s">
        <v>124</v>
      </c>
      <c r="OBC68" s="59" t="s">
        <v>101</v>
      </c>
      <c r="OBD68" s="56"/>
      <c r="OBE68" s="57"/>
      <c r="OBF68" s="57"/>
      <c r="OBG68" s="57"/>
      <c r="OBH68" s="57"/>
      <c r="OBI68" s="57"/>
      <c r="OBJ68" s="57"/>
      <c r="OBK68" s="59" t="s">
        <v>77</v>
      </c>
      <c r="OBL68" s="59" t="s">
        <v>78</v>
      </c>
      <c r="OBM68" s="59" t="s">
        <v>79</v>
      </c>
      <c r="OBN68" s="59" t="s">
        <v>80</v>
      </c>
      <c r="OBO68" s="59" t="s">
        <v>81</v>
      </c>
      <c r="OBP68" s="59" t="s">
        <v>64</v>
      </c>
      <c r="OBQ68" s="59" t="s">
        <v>98</v>
      </c>
      <c r="OBR68" s="59" t="s">
        <v>124</v>
      </c>
      <c r="OBS68" s="59" t="s">
        <v>101</v>
      </c>
      <c r="OBT68" s="56"/>
      <c r="OBU68" s="57"/>
      <c r="OBV68" s="57"/>
      <c r="OBW68" s="57"/>
      <c r="OBX68" s="57"/>
      <c r="OBY68" s="57"/>
      <c r="OBZ68" s="57"/>
      <c r="OCA68" s="59" t="s">
        <v>77</v>
      </c>
      <c r="OCB68" s="59" t="s">
        <v>78</v>
      </c>
      <c r="OCC68" s="59" t="s">
        <v>79</v>
      </c>
      <c r="OCD68" s="59" t="s">
        <v>80</v>
      </c>
      <c r="OCE68" s="59" t="s">
        <v>81</v>
      </c>
      <c r="OCF68" s="59" t="s">
        <v>64</v>
      </c>
      <c r="OCG68" s="59" t="s">
        <v>98</v>
      </c>
      <c r="OCH68" s="59" t="s">
        <v>124</v>
      </c>
      <c r="OCI68" s="59" t="s">
        <v>101</v>
      </c>
      <c r="OCJ68" s="56"/>
      <c r="OCK68" s="57"/>
      <c r="OCL68" s="57"/>
      <c r="OCM68" s="57"/>
      <c r="OCN68" s="57"/>
      <c r="OCO68" s="57"/>
      <c r="OCP68" s="57"/>
      <c r="OCQ68" s="59" t="s">
        <v>77</v>
      </c>
      <c r="OCR68" s="59" t="s">
        <v>78</v>
      </c>
      <c r="OCS68" s="59" t="s">
        <v>79</v>
      </c>
      <c r="OCT68" s="59" t="s">
        <v>80</v>
      </c>
      <c r="OCU68" s="59" t="s">
        <v>81</v>
      </c>
      <c r="OCV68" s="59" t="s">
        <v>64</v>
      </c>
      <c r="OCW68" s="59" t="s">
        <v>98</v>
      </c>
      <c r="OCX68" s="59" t="s">
        <v>124</v>
      </c>
      <c r="OCY68" s="59" t="s">
        <v>101</v>
      </c>
      <c r="OCZ68" s="56"/>
      <c r="ODA68" s="57"/>
      <c r="ODB68" s="57"/>
      <c r="ODC68" s="57"/>
      <c r="ODD68" s="57"/>
      <c r="ODE68" s="57"/>
      <c r="ODF68" s="57"/>
      <c r="ODG68" s="59" t="s">
        <v>77</v>
      </c>
      <c r="ODH68" s="59" t="s">
        <v>78</v>
      </c>
      <c r="ODI68" s="59" t="s">
        <v>79</v>
      </c>
      <c r="ODJ68" s="59" t="s">
        <v>80</v>
      </c>
      <c r="ODK68" s="59" t="s">
        <v>81</v>
      </c>
      <c r="ODL68" s="59" t="s">
        <v>64</v>
      </c>
      <c r="ODM68" s="59" t="s">
        <v>98</v>
      </c>
      <c r="ODN68" s="59" t="s">
        <v>124</v>
      </c>
      <c r="ODO68" s="59" t="s">
        <v>101</v>
      </c>
      <c r="ODP68" s="56"/>
      <c r="ODQ68" s="57"/>
      <c r="ODR68" s="57"/>
      <c r="ODS68" s="57"/>
      <c r="ODT68" s="57"/>
      <c r="ODU68" s="57"/>
      <c r="ODV68" s="57"/>
      <c r="ODW68" s="59" t="s">
        <v>77</v>
      </c>
      <c r="ODX68" s="59" t="s">
        <v>78</v>
      </c>
      <c r="ODY68" s="59" t="s">
        <v>79</v>
      </c>
      <c r="ODZ68" s="59" t="s">
        <v>80</v>
      </c>
      <c r="OEA68" s="59" t="s">
        <v>81</v>
      </c>
      <c r="OEB68" s="59" t="s">
        <v>64</v>
      </c>
      <c r="OEC68" s="59" t="s">
        <v>98</v>
      </c>
      <c r="OED68" s="59" t="s">
        <v>124</v>
      </c>
      <c r="OEE68" s="59" t="s">
        <v>101</v>
      </c>
      <c r="OEF68" s="56"/>
      <c r="OEG68" s="57"/>
      <c r="OEH68" s="57"/>
      <c r="OEI68" s="57"/>
      <c r="OEJ68" s="57"/>
      <c r="OEK68" s="57"/>
      <c r="OEL68" s="57"/>
      <c r="OEM68" s="59" t="s">
        <v>77</v>
      </c>
      <c r="OEN68" s="59" t="s">
        <v>78</v>
      </c>
      <c r="OEO68" s="59" t="s">
        <v>79</v>
      </c>
      <c r="OEP68" s="59" t="s">
        <v>80</v>
      </c>
      <c r="OEQ68" s="59" t="s">
        <v>81</v>
      </c>
      <c r="OER68" s="59" t="s">
        <v>64</v>
      </c>
      <c r="OES68" s="59" t="s">
        <v>98</v>
      </c>
      <c r="OET68" s="59" t="s">
        <v>124</v>
      </c>
      <c r="OEU68" s="59" t="s">
        <v>101</v>
      </c>
      <c r="OEV68" s="56"/>
      <c r="OEW68" s="57"/>
      <c r="OEX68" s="57"/>
      <c r="OEY68" s="57"/>
      <c r="OEZ68" s="57"/>
      <c r="OFA68" s="57"/>
      <c r="OFB68" s="57"/>
      <c r="OFC68" s="59" t="s">
        <v>77</v>
      </c>
      <c r="OFD68" s="59" t="s">
        <v>78</v>
      </c>
      <c r="OFE68" s="59" t="s">
        <v>79</v>
      </c>
      <c r="OFF68" s="59" t="s">
        <v>80</v>
      </c>
      <c r="OFG68" s="59" t="s">
        <v>81</v>
      </c>
      <c r="OFH68" s="59" t="s">
        <v>64</v>
      </c>
      <c r="OFI68" s="59" t="s">
        <v>98</v>
      </c>
      <c r="OFJ68" s="59" t="s">
        <v>124</v>
      </c>
      <c r="OFK68" s="59" t="s">
        <v>101</v>
      </c>
      <c r="OFL68" s="56"/>
      <c r="OFM68" s="57"/>
      <c r="OFN68" s="57"/>
      <c r="OFO68" s="57"/>
      <c r="OFP68" s="57"/>
      <c r="OFQ68" s="57"/>
      <c r="OFR68" s="57"/>
      <c r="OFS68" s="59" t="s">
        <v>77</v>
      </c>
      <c r="OFT68" s="59" t="s">
        <v>78</v>
      </c>
      <c r="OFU68" s="59" t="s">
        <v>79</v>
      </c>
      <c r="OFV68" s="59" t="s">
        <v>80</v>
      </c>
      <c r="OFW68" s="59" t="s">
        <v>81</v>
      </c>
      <c r="OFX68" s="59" t="s">
        <v>64</v>
      </c>
      <c r="OFY68" s="59" t="s">
        <v>98</v>
      </c>
      <c r="OFZ68" s="59" t="s">
        <v>124</v>
      </c>
      <c r="OGA68" s="59" t="s">
        <v>101</v>
      </c>
      <c r="OGB68" s="56"/>
      <c r="OGC68" s="57"/>
      <c r="OGD68" s="57"/>
      <c r="OGE68" s="57"/>
      <c r="OGF68" s="57"/>
      <c r="OGG68" s="57"/>
      <c r="OGH68" s="57"/>
      <c r="OGI68" s="59" t="s">
        <v>77</v>
      </c>
      <c r="OGJ68" s="59" t="s">
        <v>78</v>
      </c>
      <c r="OGK68" s="59" t="s">
        <v>79</v>
      </c>
      <c r="OGL68" s="59" t="s">
        <v>80</v>
      </c>
      <c r="OGM68" s="59" t="s">
        <v>81</v>
      </c>
      <c r="OGN68" s="59" t="s">
        <v>64</v>
      </c>
      <c r="OGO68" s="59" t="s">
        <v>98</v>
      </c>
      <c r="OGP68" s="59" t="s">
        <v>124</v>
      </c>
      <c r="OGQ68" s="59" t="s">
        <v>101</v>
      </c>
      <c r="OGR68" s="56"/>
      <c r="OGS68" s="57"/>
      <c r="OGT68" s="57"/>
      <c r="OGU68" s="57"/>
      <c r="OGV68" s="57"/>
      <c r="OGW68" s="57"/>
      <c r="OGX68" s="57"/>
      <c r="OGY68" s="59" t="s">
        <v>77</v>
      </c>
      <c r="OGZ68" s="59" t="s">
        <v>78</v>
      </c>
      <c r="OHA68" s="59" t="s">
        <v>79</v>
      </c>
      <c r="OHB68" s="59" t="s">
        <v>80</v>
      </c>
      <c r="OHC68" s="59" t="s">
        <v>81</v>
      </c>
      <c r="OHD68" s="59" t="s">
        <v>64</v>
      </c>
      <c r="OHE68" s="59" t="s">
        <v>98</v>
      </c>
      <c r="OHF68" s="59" t="s">
        <v>124</v>
      </c>
      <c r="OHG68" s="59" t="s">
        <v>101</v>
      </c>
      <c r="OHH68" s="56"/>
      <c r="OHI68" s="57"/>
      <c r="OHJ68" s="57"/>
      <c r="OHK68" s="57"/>
      <c r="OHL68" s="57"/>
      <c r="OHM68" s="57"/>
      <c r="OHN68" s="57"/>
      <c r="OHO68" s="59" t="s">
        <v>77</v>
      </c>
      <c r="OHP68" s="59" t="s">
        <v>78</v>
      </c>
      <c r="OHQ68" s="59" t="s">
        <v>79</v>
      </c>
      <c r="OHR68" s="59" t="s">
        <v>80</v>
      </c>
      <c r="OHS68" s="59" t="s">
        <v>81</v>
      </c>
      <c r="OHT68" s="59" t="s">
        <v>64</v>
      </c>
      <c r="OHU68" s="59" t="s">
        <v>98</v>
      </c>
      <c r="OHV68" s="59" t="s">
        <v>124</v>
      </c>
      <c r="OHW68" s="59" t="s">
        <v>101</v>
      </c>
      <c r="OHX68" s="56"/>
      <c r="OHY68" s="57"/>
      <c r="OHZ68" s="57"/>
      <c r="OIA68" s="57"/>
      <c r="OIB68" s="57"/>
      <c r="OIC68" s="57"/>
      <c r="OID68" s="57"/>
      <c r="OIE68" s="59" t="s">
        <v>77</v>
      </c>
      <c r="OIF68" s="59" t="s">
        <v>78</v>
      </c>
      <c r="OIG68" s="59" t="s">
        <v>79</v>
      </c>
      <c r="OIH68" s="59" t="s">
        <v>80</v>
      </c>
      <c r="OII68" s="59" t="s">
        <v>81</v>
      </c>
      <c r="OIJ68" s="59" t="s">
        <v>64</v>
      </c>
      <c r="OIK68" s="59" t="s">
        <v>98</v>
      </c>
      <c r="OIL68" s="59" t="s">
        <v>124</v>
      </c>
      <c r="OIM68" s="59" t="s">
        <v>101</v>
      </c>
      <c r="OIN68" s="56"/>
      <c r="OIO68" s="57"/>
      <c r="OIP68" s="57"/>
      <c r="OIQ68" s="57"/>
      <c r="OIR68" s="57"/>
      <c r="OIS68" s="57"/>
      <c r="OIT68" s="57"/>
      <c r="OIU68" s="59" t="s">
        <v>77</v>
      </c>
      <c r="OIV68" s="59" t="s">
        <v>78</v>
      </c>
      <c r="OIW68" s="59" t="s">
        <v>79</v>
      </c>
      <c r="OIX68" s="59" t="s">
        <v>80</v>
      </c>
      <c r="OIY68" s="59" t="s">
        <v>81</v>
      </c>
      <c r="OIZ68" s="59" t="s">
        <v>64</v>
      </c>
      <c r="OJA68" s="59" t="s">
        <v>98</v>
      </c>
      <c r="OJB68" s="59" t="s">
        <v>124</v>
      </c>
      <c r="OJC68" s="59" t="s">
        <v>101</v>
      </c>
      <c r="OJD68" s="56"/>
      <c r="OJE68" s="57"/>
      <c r="OJF68" s="57"/>
      <c r="OJG68" s="57"/>
      <c r="OJH68" s="57"/>
      <c r="OJI68" s="57"/>
      <c r="OJJ68" s="57"/>
      <c r="OJK68" s="59" t="s">
        <v>77</v>
      </c>
      <c r="OJL68" s="59" t="s">
        <v>78</v>
      </c>
      <c r="OJM68" s="59" t="s">
        <v>79</v>
      </c>
      <c r="OJN68" s="59" t="s">
        <v>80</v>
      </c>
      <c r="OJO68" s="59" t="s">
        <v>81</v>
      </c>
      <c r="OJP68" s="59" t="s">
        <v>64</v>
      </c>
      <c r="OJQ68" s="59" t="s">
        <v>98</v>
      </c>
      <c r="OJR68" s="59" t="s">
        <v>124</v>
      </c>
      <c r="OJS68" s="59" t="s">
        <v>101</v>
      </c>
      <c r="OJT68" s="56"/>
      <c r="OJU68" s="57"/>
      <c r="OJV68" s="57"/>
      <c r="OJW68" s="57"/>
      <c r="OJX68" s="57"/>
      <c r="OJY68" s="57"/>
      <c r="OJZ68" s="57"/>
      <c r="OKA68" s="59" t="s">
        <v>77</v>
      </c>
      <c r="OKB68" s="59" t="s">
        <v>78</v>
      </c>
      <c r="OKC68" s="59" t="s">
        <v>79</v>
      </c>
      <c r="OKD68" s="59" t="s">
        <v>80</v>
      </c>
      <c r="OKE68" s="59" t="s">
        <v>81</v>
      </c>
      <c r="OKF68" s="59" t="s">
        <v>64</v>
      </c>
      <c r="OKG68" s="59" t="s">
        <v>98</v>
      </c>
      <c r="OKH68" s="59" t="s">
        <v>124</v>
      </c>
      <c r="OKI68" s="59" t="s">
        <v>101</v>
      </c>
      <c r="OKJ68" s="56"/>
      <c r="OKK68" s="57"/>
      <c r="OKL68" s="57"/>
      <c r="OKM68" s="57"/>
      <c r="OKN68" s="57"/>
      <c r="OKO68" s="57"/>
      <c r="OKP68" s="57"/>
      <c r="OKQ68" s="59" t="s">
        <v>77</v>
      </c>
      <c r="OKR68" s="59" t="s">
        <v>78</v>
      </c>
      <c r="OKS68" s="59" t="s">
        <v>79</v>
      </c>
      <c r="OKT68" s="59" t="s">
        <v>80</v>
      </c>
      <c r="OKU68" s="59" t="s">
        <v>81</v>
      </c>
      <c r="OKV68" s="59" t="s">
        <v>64</v>
      </c>
      <c r="OKW68" s="59" t="s">
        <v>98</v>
      </c>
      <c r="OKX68" s="59" t="s">
        <v>124</v>
      </c>
      <c r="OKY68" s="59" t="s">
        <v>101</v>
      </c>
      <c r="OKZ68" s="56"/>
      <c r="OLA68" s="57"/>
      <c r="OLB68" s="57"/>
      <c r="OLC68" s="57"/>
      <c r="OLD68" s="57"/>
      <c r="OLE68" s="57"/>
      <c r="OLF68" s="57"/>
      <c r="OLG68" s="59" t="s">
        <v>77</v>
      </c>
      <c r="OLH68" s="59" t="s">
        <v>78</v>
      </c>
      <c r="OLI68" s="59" t="s">
        <v>79</v>
      </c>
      <c r="OLJ68" s="59" t="s">
        <v>80</v>
      </c>
      <c r="OLK68" s="59" t="s">
        <v>81</v>
      </c>
      <c r="OLL68" s="59" t="s">
        <v>64</v>
      </c>
      <c r="OLM68" s="59" t="s">
        <v>98</v>
      </c>
      <c r="OLN68" s="59" t="s">
        <v>124</v>
      </c>
      <c r="OLO68" s="59" t="s">
        <v>101</v>
      </c>
      <c r="OLP68" s="56"/>
      <c r="OLQ68" s="57"/>
      <c r="OLR68" s="57"/>
      <c r="OLS68" s="57"/>
      <c r="OLT68" s="57"/>
      <c r="OLU68" s="57"/>
      <c r="OLV68" s="57"/>
      <c r="OLW68" s="59" t="s">
        <v>77</v>
      </c>
      <c r="OLX68" s="59" t="s">
        <v>78</v>
      </c>
      <c r="OLY68" s="59" t="s">
        <v>79</v>
      </c>
      <c r="OLZ68" s="59" t="s">
        <v>80</v>
      </c>
      <c r="OMA68" s="59" t="s">
        <v>81</v>
      </c>
      <c r="OMB68" s="59" t="s">
        <v>64</v>
      </c>
      <c r="OMC68" s="59" t="s">
        <v>98</v>
      </c>
      <c r="OMD68" s="59" t="s">
        <v>124</v>
      </c>
      <c r="OME68" s="59" t="s">
        <v>101</v>
      </c>
      <c r="OMF68" s="56"/>
      <c r="OMG68" s="57"/>
      <c r="OMH68" s="57"/>
      <c r="OMI68" s="57"/>
      <c r="OMJ68" s="57"/>
      <c r="OMK68" s="57"/>
      <c r="OML68" s="57"/>
      <c r="OMM68" s="59" t="s">
        <v>77</v>
      </c>
      <c r="OMN68" s="59" t="s">
        <v>78</v>
      </c>
      <c r="OMO68" s="59" t="s">
        <v>79</v>
      </c>
      <c r="OMP68" s="59" t="s">
        <v>80</v>
      </c>
      <c r="OMQ68" s="59" t="s">
        <v>81</v>
      </c>
      <c r="OMR68" s="59" t="s">
        <v>64</v>
      </c>
      <c r="OMS68" s="59" t="s">
        <v>98</v>
      </c>
      <c r="OMT68" s="59" t="s">
        <v>124</v>
      </c>
      <c r="OMU68" s="59" t="s">
        <v>101</v>
      </c>
      <c r="OMV68" s="56"/>
      <c r="OMW68" s="57"/>
      <c r="OMX68" s="57"/>
      <c r="OMY68" s="57"/>
      <c r="OMZ68" s="57"/>
      <c r="ONA68" s="57"/>
      <c r="ONB68" s="57"/>
      <c r="ONC68" s="59" t="s">
        <v>77</v>
      </c>
      <c r="OND68" s="59" t="s">
        <v>78</v>
      </c>
      <c r="ONE68" s="59" t="s">
        <v>79</v>
      </c>
      <c r="ONF68" s="59" t="s">
        <v>80</v>
      </c>
      <c r="ONG68" s="59" t="s">
        <v>81</v>
      </c>
      <c r="ONH68" s="59" t="s">
        <v>64</v>
      </c>
      <c r="ONI68" s="59" t="s">
        <v>98</v>
      </c>
      <c r="ONJ68" s="59" t="s">
        <v>124</v>
      </c>
      <c r="ONK68" s="59" t="s">
        <v>101</v>
      </c>
      <c r="ONL68" s="56"/>
      <c r="ONM68" s="57"/>
      <c r="ONN68" s="57"/>
      <c r="ONO68" s="57"/>
      <c r="ONP68" s="57"/>
      <c r="ONQ68" s="57"/>
      <c r="ONR68" s="57"/>
      <c r="ONS68" s="59" t="s">
        <v>77</v>
      </c>
      <c r="ONT68" s="59" t="s">
        <v>78</v>
      </c>
      <c r="ONU68" s="59" t="s">
        <v>79</v>
      </c>
      <c r="ONV68" s="59" t="s">
        <v>80</v>
      </c>
      <c r="ONW68" s="59" t="s">
        <v>81</v>
      </c>
      <c r="ONX68" s="59" t="s">
        <v>64</v>
      </c>
      <c r="ONY68" s="59" t="s">
        <v>98</v>
      </c>
      <c r="ONZ68" s="59" t="s">
        <v>124</v>
      </c>
      <c r="OOA68" s="59" t="s">
        <v>101</v>
      </c>
      <c r="OOB68" s="56"/>
      <c r="OOC68" s="57"/>
      <c r="OOD68" s="57"/>
      <c r="OOE68" s="57"/>
      <c r="OOF68" s="57"/>
      <c r="OOG68" s="57"/>
      <c r="OOH68" s="57"/>
      <c r="OOI68" s="59" t="s">
        <v>77</v>
      </c>
      <c r="OOJ68" s="59" t="s">
        <v>78</v>
      </c>
      <c r="OOK68" s="59" t="s">
        <v>79</v>
      </c>
      <c r="OOL68" s="59" t="s">
        <v>80</v>
      </c>
      <c r="OOM68" s="59" t="s">
        <v>81</v>
      </c>
      <c r="OON68" s="59" t="s">
        <v>64</v>
      </c>
      <c r="OOO68" s="59" t="s">
        <v>98</v>
      </c>
      <c r="OOP68" s="59" t="s">
        <v>124</v>
      </c>
      <c r="OOQ68" s="59" t="s">
        <v>101</v>
      </c>
      <c r="OOR68" s="56"/>
      <c r="OOS68" s="57"/>
      <c r="OOT68" s="57"/>
      <c r="OOU68" s="57"/>
      <c r="OOV68" s="57"/>
      <c r="OOW68" s="57"/>
      <c r="OOX68" s="57"/>
      <c r="OOY68" s="59" t="s">
        <v>77</v>
      </c>
      <c r="OOZ68" s="59" t="s">
        <v>78</v>
      </c>
      <c r="OPA68" s="59" t="s">
        <v>79</v>
      </c>
      <c r="OPB68" s="59" t="s">
        <v>80</v>
      </c>
      <c r="OPC68" s="59" t="s">
        <v>81</v>
      </c>
      <c r="OPD68" s="59" t="s">
        <v>64</v>
      </c>
      <c r="OPE68" s="59" t="s">
        <v>98</v>
      </c>
      <c r="OPF68" s="59" t="s">
        <v>124</v>
      </c>
      <c r="OPG68" s="59" t="s">
        <v>101</v>
      </c>
      <c r="OPH68" s="56"/>
      <c r="OPI68" s="57"/>
      <c r="OPJ68" s="57"/>
      <c r="OPK68" s="57"/>
      <c r="OPL68" s="57"/>
      <c r="OPM68" s="57"/>
      <c r="OPN68" s="57"/>
      <c r="OPO68" s="59" t="s">
        <v>77</v>
      </c>
      <c r="OPP68" s="59" t="s">
        <v>78</v>
      </c>
      <c r="OPQ68" s="59" t="s">
        <v>79</v>
      </c>
      <c r="OPR68" s="59" t="s">
        <v>80</v>
      </c>
      <c r="OPS68" s="59" t="s">
        <v>81</v>
      </c>
      <c r="OPT68" s="59" t="s">
        <v>64</v>
      </c>
      <c r="OPU68" s="59" t="s">
        <v>98</v>
      </c>
      <c r="OPV68" s="59" t="s">
        <v>124</v>
      </c>
      <c r="OPW68" s="59" t="s">
        <v>101</v>
      </c>
      <c r="OPX68" s="56"/>
      <c r="OPY68" s="57"/>
      <c r="OPZ68" s="57"/>
      <c r="OQA68" s="57"/>
      <c r="OQB68" s="57"/>
      <c r="OQC68" s="57"/>
      <c r="OQD68" s="57"/>
      <c r="OQE68" s="59" t="s">
        <v>77</v>
      </c>
      <c r="OQF68" s="59" t="s">
        <v>78</v>
      </c>
      <c r="OQG68" s="59" t="s">
        <v>79</v>
      </c>
      <c r="OQH68" s="59" t="s">
        <v>80</v>
      </c>
      <c r="OQI68" s="59" t="s">
        <v>81</v>
      </c>
      <c r="OQJ68" s="59" t="s">
        <v>64</v>
      </c>
      <c r="OQK68" s="59" t="s">
        <v>98</v>
      </c>
      <c r="OQL68" s="59" t="s">
        <v>124</v>
      </c>
      <c r="OQM68" s="59" t="s">
        <v>101</v>
      </c>
      <c r="OQN68" s="56"/>
      <c r="OQO68" s="57"/>
      <c r="OQP68" s="57"/>
      <c r="OQQ68" s="57"/>
      <c r="OQR68" s="57"/>
      <c r="OQS68" s="57"/>
      <c r="OQT68" s="57"/>
      <c r="OQU68" s="59" t="s">
        <v>77</v>
      </c>
      <c r="OQV68" s="59" t="s">
        <v>78</v>
      </c>
      <c r="OQW68" s="59" t="s">
        <v>79</v>
      </c>
      <c r="OQX68" s="59" t="s">
        <v>80</v>
      </c>
      <c r="OQY68" s="59" t="s">
        <v>81</v>
      </c>
      <c r="OQZ68" s="59" t="s">
        <v>64</v>
      </c>
      <c r="ORA68" s="59" t="s">
        <v>98</v>
      </c>
      <c r="ORB68" s="59" t="s">
        <v>124</v>
      </c>
      <c r="ORC68" s="59" t="s">
        <v>101</v>
      </c>
      <c r="ORD68" s="56"/>
      <c r="ORE68" s="57"/>
      <c r="ORF68" s="57"/>
      <c r="ORG68" s="57"/>
      <c r="ORH68" s="57"/>
      <c r="ORI68" s="57"/>
      <c r="ORJ68" s="57"/>
      <c r="ORK68" s="59" t="s">
        <v>77</v>
      </c>
      <c r="ORL68" s="59" t="s">
        <v>78</v>
      </c>
      <c r="ORM68" s="59" t="s">
        <v>79</v>
      </c>
      <c r="ORN68" s="59" t="s">
        <v>80</v>
      </c>
      <c r="ORO68" s="59" t="s">
        <v>81</v>
      </c>
      <c r="ORP68" s="59" t="s">
        <v>64</v>
      </c>
      <c r="ORQ68" s="59" t="s">
        <v>98</v>
      </c>
      <c r="ORR68" s="59" t="s">
        <v>124</v>
      </c>
      <c r="ORS68" s="59" t="s">
        <v>101</v>
      </c>
      <c r="ORT68" s="56"/>
      <c r="ORU68" s="57"/>
      <c r="ORV68" s="57"/>
      <c r="ORW68" s="57"/>
      <c r="ORX68" s="57"/>
      <c r="ORY68" s="57"/>
      <c r="ORZ68" s="57"/>
      <c r="OSA68" s="59" t="s">
        <v>77</v>
      </c>
      <c r="OSB68" s="59" t="s">
        <v>78</v>
      </c>
      <c r="OSC68" s="59" t="s">
        <v>79</v>
      </c>
      <c r="OSD68" s="59" t="s">
        <v>80</v>
      </c>
      <c r="OSE68" s="59" t="s">
        <v>81</v>
      </c>
      <c r="OSF68" s="59" t="s">
        <v>64</v>
      </c>
      <c r="OSG68" s="59" t="s">
        <v>98</v>
      </c>
      <c r="OSH68" s="59" t="s">
        <v>124</v>
      </c>
      <c r="OSI68" s="59" t="s">
        <v>101</v>
      </c>
      <c r="OSJ68" s="56"/>
      <c r="OSK68" s="57"/>
      <c r="OSL68" s="57"/>
      <c r="OSM68" s="57"/>
      <c r="OSN68" s="57"/>
      <c r="OSO68" s="57"/>
      <c r="OSP68" s="57"/>
      <c r="OSQ68" s="59" t="s">
        <v>77</v>
      </c>
      <c r="OSR68" s="59" t="s">
        <v>78</v>
      </c>
      <c r="OSS68" s="59" t="s">
        <v>79</v>
      </c>
      <c r="OST68" s="59" t="s">
        <v>80</v>
      </c>
      <c r="OSU68" s="59" t="s">
        <v>81</v>
      </c>
      <c r="OSV68" s="59" t="s">
        <v>64</v>
      </c>
      <c r="OSW68" s="59" t="s">
        <v>98</v>
      </c>
      <c r="OSX68" s="59" t="s">
        <v>124</v>
      </c>
      <c r="OSY68" s="59" t="s">
        <v>101</v>
      </c>
      <c r="OSZ68" s="56"/>
      <c r="OTA68" s="57"/>
      <c r="OTB68" s="57"/>
      <c r="OTC68" s="57"/>
      <c r="OTD68" s="57"/>
      <c r="OTE68" s="57"/>
      <c r="OTF68" s="57"/>
      <c r="OTG68" s="59" t="s">
        <v>77</v>
      </c>
      <c r="OTH68" s="59" t="s">
        <v>78</v>
      </c>
      <c r="OTI68" s="59" t="s">
        <v>79</v>
      </c>
      <c r="OTJ68" s="59" t="s">
        <v>80</v>
      </c>
      <c r="OTK68" s="59" t="s">
        <v>81</v>
      </c>
      <c r="OTL68" s="59" t="s">
        <v>64</v>
      </c>
      <c r="OTM68" s="59" t="s">
        <v>98</v>
      </c>
      <c r="OTN68" s="59" t="s">
        <v>124</v>
      </c>
      <c r="OTO68" s="59" t="s">
        <v>101</v>
      </c>
      <c r="OTP68" s="56"/>
      <c r="OTQ68" s="57"/>
      <c r="OTR68" s="57"/>
      <c r="OTS68" s="57"/>
      <c r="OTT68" s="57"/>
      <c r="OTU68" s="57"/>
      <c r="OTV68" s="57"/>
      <c r="OTW68" s="59" t="s">
        <v>77</v>
      </c>
      <c r="OTX68" s="59" t="s">
        <v>78</v>
      </c>
      <c r="OTY68" s="59" t="s">
        <v>79</v>
      </c>
      <c r="OTZ68" s="59" t="s">
        <v>80</v>
      </c>
      <c r="OUA68" s="59" t="s">
        <v>81</v>
      </c>
      <c r="OUB68" s="59" t="s">
        <v>64</v>
      </c>
      <c r="OUC68" s="59" t="s">
        <v>98</v>
      </c>
      <c r="OUD68" s="59" t="s">
        <v>124</v>
      </c>
      <c r="OUE68" s="59" t="s">
        <v>101</v>
      </c>
      <c r="OUF68" s="56"/>
      <c r="OUG68" s="57"/>
      <c r="OUH68" s="57"/>
      <c r="OUI68" s="57"/>
      <c r="OUJ68" s="57"/>
      <c r="OUK68" s="57"/>
      <c r="OUL68" s="57"/>
      <c r="OUM68" s="59" t="s">
        <v>77</v>
      </c>
      <c r="OUN68" s="59" t="s">
        <v>78</v>
      </c>
      <c r="OUO68" s="59" t="s">
        <v>79</v>
      </c>
      <c r="OUP68" s="59" t="s">
        <v>80</v>
      </c>
      <c r="OUQ68" s="59" t="s">
        <v>81</v>
      </c>
      <c r="OUR68" s="59" t="s">
        <v>64</v>
      </c>
      <c r="OUS68" s="59" t="s">
        <v>98</v>
      </c>
      <c r="OUT68" s="59" t="s">
        <v>124</v>
      </c>
      <c r="OUU68" s="59" t="s">
        <v>101</v>
      </c>
      <c r="OUV68" s="56"/>
      <c r="OUW68" s="57"/>
      <c r="OUX68" s="57"/>
      <c r="OUY68" s="57"/>
      <c r="OUZ68" s="57"/>
      <c r="OVA68" s="57"/>
      <c r="OVB68" s="57"/>
      <c r="OVC68" s="59" t="s">
        <v>77</v>
      </c>
      <c r="OVD68" s="59" t="s">
        <v>78</v>
      </c>
      <c r="OVE68" s="59" t="s">
        <v>79</v>
      </c>
      <c r="OVF68" s="59" t="s">
        <v>80</v>
      </c>
      <c r="OVG68" s="59" t="s">
        <v>81</v>
      </c>
      <c r="OVH68" s="59" t="s">
        <v>64</v>
      </c>
      <c r="OVI68" s="59" t="s">
        <v>98</v>
      </c>
      <c r="OVJ68" s="59" t="s">
        <v>124</v>
      </c>
      <c r="OVK68" s="59" t="s">
        <v>101</v>
      </c>
      <c r="OVL68" s="56"/>
      <c r="OVM68" s="57"/>
      <c r="OVN68" s="57"/>
      <c r="OVO68" s="57"/>
      <c r="OVP68" s="57"/>
      <c r="OVQ68" s="57"/>
      <c r="OVR68" s="57"/>
      <c r="OVS68" s="59" t="s">
        <v>77</v>
      </c>
      <c r="OVT68" s="59" t="s">
        <v>78</v>
      </c>
      <c r="OVU68" s="59" t="s">
        <v>79</v>
      </c>
      <c r="OVV68" s="59" t="s">
        <v>80</v>
      </c>
      <c r="OVW68" s="59" t="s">
        <v>81</v>
      </c>
      <c r="OVX68" s="59" t="s">
        <v>64</v>
      </c>
      <c r="OVY68" s="59" t="s">
        <v>98</v>
      </c>
      <c r="OVZ68" s="59" t="s">
        <v>124</v>
      </c>
      <c r="OWA68" s="59" t="s">
        <v>101</v>
      </c>
      <c r="OWB68" s="56"/>
      <c r="OWC68" s="57"/>
      <c r="OWD68" s="57"/>
      <c r="OWE68" s="57"/>
      <c r="OWF68" s="57"/>
      <c r="OWG68" s="57"/>
      <c r="OWH68" s="57"/>
      <c r="OWI68" s="59" t="s">
        <v>77</v>
      </c>
      <c r="OWJ68" s="59" t="s">
        <v>78</v>
      </c>
      <c r="OWK68" s="59" t="s">
        <v>79</v>
      </c>
      <c r="OWL68" s="59" t="s">
        <v>80</v>
      </c>
      <c r="OWM68" s="59" t="s">
        <v>81</v>
      </c>
      <c r="OWN68" s="59" t="s">
        <v>64</v>
      </c>
      <c r="OWO68" s="59" t="s">
        <v>98</v>
      </c>
      <c r="OWP68" s="59" t="s">
        <v>124</v>
      </c>
      <c r="OWQ68" s="59" t="s">
        <v>101</v>
      </c>
      <c r="OWR68" s="56"/>
      <c r="OWS68" s="57"/>
      <c r="OWT68" s="57"/>
      <c r="OWU68" s="57"/>
      <c r="OWV68" s="57"/>
      <c r="OWW68" s="57"/>
      <c r="OWX68" s="57"/>
      <c r="OWY68" s="59" t="s">
        <v>77</v>
      </c>
      <c r="OWZ68" s="59" t="s">
        <v>78</v>
      </c>
      <c r="OXA68" s="59" t="s">
        <v>79</v>
      </c>
      <c r="OXB68" s="59" t="s">
        <v>80</v>
      </c>
      <c r="OXC68" s="59" t="s">
        <v>81</v>
      </c>
      <c r="OXD68" s="59" t="s">
        <v>64</v>
      </c>
      <c r="OXE68" s="59" t="s">
        <v>98</v>
      </c>
      <c r="OXF68" s="59" t="s">
        <v>124</v>
      </c>
      <c r="OXG68" s="59" t="s">
        <v>101</v>
      </c>
      <c r="OXH68" s="56"/>
      <c r="OXI68" s="57"/>
      <c r="OXJ68" s="57"/>
      <c r="OXK68" s="57"/>
      <c r="OXL68" s="57"/>
      <c r="OXM68" s="57"/>
      <c r="OXN68" s="57"/>
      <c r="OXO68" s="59" t="s">
        <v>77</v>
      </c>
      <c r="OXP68" s="59" t="s">
        <v>78</v>
      </c>
      <c r="OXQ68" s="59" t="s">
        <v>79</v>
      </c>
      <c r="OXR68" s="59" t="s">
        <v>80</v>
      </c>
      <c r="OXS68" s="59" t="s">
        <v>81</v>
      </c>
      <c r="OXT68" s="59" t="s">
        <v>64</v>
      </c>
      <c r="OXU68" s="59" t="s">
        <v>98</v>
      </c>
      <c r="OXV68" s="59" t="s">
        <v>124</v>
      </c>
      <c r="OXW68" s="59" t="s">
        <v>101</v>
      </c>
      <c r="OXX68" s="56"/>
      <c r="OXY68" s="57"/>
      <c r="OXZ68" s="57"/>
      <c r="OYA68" s="57"/>
      <c r="OYB68" s="57"/>
      <c r="OYC68" s="57"/>
      <c r="OYD68" s="57"/>
      <c r="OYE68" s="59" t="s">
        <v>77</v>
      </c>
      <c r="OYF68" s="59" t="s">
        <v>78</v>
      </c>
      <c r="OYG68" s="59" t="s">
        <v>79</v>
      </c>
      <c r="OYH68" s="59" t="s">
        <v>80</v>
      </c>
      <c r="OYI68" s="59" t="s">
        <v>81</v>
      </c>
      <c r="OYJ68" s="59" t="s">
        <v>64</v>
      </c>
      <c r="OYK68" s="59" t="s">
        <v>98</v>
      </c>
      <c r="OYL68" s="59" t="s">
        <v>124</v>
      </c>
      <c r="OYM68" s="59" t="s">
        <v>101</v>
      </c>
      <c r="OYN68" s="56"/>
      <c r="OYO68" s="57"/>
      <c r="OYP68" s="57"/>
      <c r="OYQ68" s="57"/>
      <c r="OYR68" s="57"/>
      <c r="OYS68" s="57"/>
      <c r="OYT68" s="57"/>
      <c r="OYU68" s="59" t="s">
        <v>77</v>
      </c>
      <c r="OYV68" s="59" t="s">
        <v>78</v>
      </c>
      <c r="OYW68" s="59" t="s">
        <v>79</v>
      </c>
      <c r="OYX68" s="59" t="s">
        <v>80</v>
      </c>
      <c r="OYY68" s="59" t="s">
        <v>81</v>
      </c>
      <c r="OYZ68" s="59" t="s">
        <v>64</v>
      </c>
      <c r="OZA68" s="59" t="s">
        <v>98</v>
      </c>
      <c r="OZB68" s="59" t="s">
        <v>124</v>
      </c>
      <c r="OZC68" s="59" t="s">
        <v>101</v>
      </c>
      <c r="OZD68" s="56"/>
      <c r="OZE68" s="57"/>
      <c r="OZF68" s="57"/>
      <c r="OZG68" s="57"/>
      <c r="OZH68" s="57"/>
      <c r="OZI68" s="57"/>
      <c r="OZJ68" s="57"/>
      <c r="OZK68" s="59" t="s">
        <v>77</v>
      </c>
      <c r="OZL68" s="59" t="s">
        <v>78</v>
      </c>
      <c r="OZM68" s="59" t="s">
        <v>79</v>
      </c>
      <c r="OZN68" s="59" t="s">
        <v>80</v>
      </c>
      <c r="OZO68" s="59" t="s">
        <v>81</v>
      </c>
      <c r="OZP68" s="59" t="s">
        <v>64</v>
      </c>
      <c r="OZQ68" s="59" t="s">
        <v>98</v>
      </c>
      <c r="OZR68" s="59" t="s">
        <v>124</v>
      </c>
      <c r="OZS68" s="59" t="s">
        <v>101</v>
      </c>
      <c r="OZT68" s="56"/>
      <c r="OZU68" s="57"/>
      <c r="OZV68" s="57"/>
      <c r="OZW68" s="57"/>
      <c r="OZX68" s="57"/>
      <c r="OZY68" s="57"/>
      <c r="OZZ68" s="57"/>
      <c r="PAA68" s="59" t="s">
        <v>77</v>
      </c>
      <c r="PAB68" s="59" t="s">
        <v>78</v>
      </c>
      <c r="PAC68" s="59" t="s">
        <v>79</v>
      </c>
      <c r="PAD68" s="59" t="s">
        <v>80</v>
      </c>
      <c r="PAE68" s="59" t="s">
        <v>81</v>
      </c>
      <c r="PAF68" s="59" t="s">
        <v>64</v>
      </c>
      <c r="PAG68" s="59" t="s">
        <v>98</v>
      </c>
      <c r="PAH68" s="59" t="s">
        <v>124</v>
      </c>
      <c r="PAI68" s="59" t="s">
        <v>101</v>
      </c>
      <c r="PAJ68" s="56"/>
      <c r="PAK68" s="57"/>
      <c r="PAL68" s="57"/>
      <c r="PAM68" s="57"/>
      <c r="PAN68" s="57"/>
      <c r="PAO68" s="57"/>
      <c r="PAP68" s="57"/>
      <c r="PAQ68" s="59" t="s">
        <v>77</v>
      </c>
      <c r="PAR68" s="59" t="s">
        <v>78</v>
      </c>
      <c r="PAS68" s="59" t="s">
        <v>79</v>
      </c>
      <c r="PAT68" s="59" t="s">
        <v>80</v>
      </c>
      <c r="PAU68" s="59" t="s">
        <v>81</v>
      </c>
      <c r="PAV68" s="59" t="s">
        <v>64</v>
      </c>
      <c r="PAW68" s="59" t="s">
        <v>98</v>
      </c>
      <c r="PAX68" s="59" t="s">
        <v>124</v>
      </c>
      <c r="PAY68" s="59" t="s">
        <v>101</v>
      </c>
      <c r="PAZ68" s="56"/>
      <c r="PBA68" s="57"/>
      <c r="PBB68" s="57"/>
      <c r="PBC68" s="57"/>
      <c r="PBD68" s="57"/>
      <c r="PBE68" s="57"/>
      <c r="PBF68" s="57"/>
      <c r="PBG68" s="59" t="s">
        <v>77</v>
      </c>
      <c r="PBH68" s="59" t="s">
        <v>78</v>
      </c>
      <c r="PBI68" s="59" t="s">
        <v>79</v>
      </c>
      <c r="PBJ68" s="59" t="s">
        <v>80</v>
      </c>
      <c r="PBK68" s="59" t="s">
        <v>81</v>
      </c>
      <c r="PBL68" s="59" t="s">
        <v>64</v>
      </c>
      <c r="PBM68" s="59" t="s">
        <v>98</v>
      </c>
      <c r="PBN68" s="59" t="s">
        <v>124</v>
      </c>
      <c r="PBO68" s="59" t="s">
        <v>101</v>
      </c>
      <c r="PBP68" s="56"/>
      <c r="PBQ68" s="57"/>
      <c r="PBR68" s="57"/>
      <c r="PBS68" s="57"/>
      <c r="PBT68" s="57"/>
      <c r="PBU68" s="57"/>
      <c r="PBV68" s="57"/>
      <c r="PBW68" s="59" t="s">
        <v>77</v>
      </c>
      <c r="PBX68" s="59" t="s">
        <v>78</v>
      </c>
      <c r="PBY68" s="59" t="s">
        <v>79</v>
      </c>
      <c r="PBZ68" s="59" t="s">
        <v>80</v>
      </c>
      <c r="PCA68" s="59" t="s">
        <v>81</v>
      </c>
      <c r="PCB68" s="59" t="s">
        <v>64</v>
      </c>
      <c r="PCC68" s="59" t="s">
        <v>98</v>
      </c>
      <c r="PCD68" s="59" t="s">
        <v>124</v>
      </c>
      <c r="PCE68" s="59" t="s">
        <v>101</v>
      </c>
      <c r="PCF68" s="56"/>
      <c r="PCG68" s="57"/>
      <c r="PCH68" s="57"/>
      <c r="PCI68" s="57"/>
      <c r="PCJ68" s="57"/>
      <c r="PCK68" s="57"/>
      <c r="PCL68" s="57"/>
      <c r="PCM68" s="59" t="s">
        <v>77</v>
      </c>
      <c r="PCN68" s="59" t="s">
        <v>78</v>
      </c>
      <c r="PCO68" s="59" t="s">
        <v>79</v>
      </c>
      <c r="PCP68" s="59" t="s">
        <v>80</v>
      </c>
      <c r="PCQ68" s="59" t="s">
        <v>81</v>
      </c>
      <c r="PCR68" s="59" t="s">
        <v>64</v>
      </c>
      <c r="PCS68" s="59" t="s">
        <v>98</v>
      </c>
      <c r="PCT68" s="59" t="s">
        <v>124</v>
      </c>
      <c r="PCU68" s="59" t="s">
        <v>101</v>
      </c>
      <c r="PCV68" s="56"/>
      <c r="PCW68" s="57"/>
      <c r="PCX68" s="57"/>
      <c r="PCY68" s="57"/>
      <c r="PCZ68" s="57"/>
      <c r="PDA68" s="57"/>
      <c r="PDB68" s="57"/>
      <c r="PDC68" s="59" t="s">
        <v>77</v>
      </c>
      <c r="PDD68" s="59" t="s">
        <v>78</v>
      </c>
      <c r="PDE68" s="59" t="s">
        <v>79</v>
      </c>
      <c r="PDF68" s="59" t="s">
        <v>80</v>
      </c>
      <c r="PDG68" s="59" t="s">
        <v>81</v>
      </c>
      <c r="PDH68" s="59" t="s">
        <v>64</v>
      </c>
      <c r="PDI68" s="59" t="s">
        <v>98</v>
      </c>
      <c r="PDJ68" s="59" t="s">
        <v>124</v>
      </c>
      <c r="PDK68" s="59" t="s">
        <v>101</v>
      </c>
      <c r="PDL68" s="56"/>
      <c r="PDM68" s="57"/>
      <c r="PDN68" s="57"/>
      <c r="PDO68" s="57"/>
      <c r="PDP68" s="57"/>
      <c r="PDQ68" s="57"/>
      <c r="PDR68" s="57"/>
      <c r="PDS68" s="59" t="s">
        <v>77</v>
      </c>
      <c r="PDT68" s="59" t="s">
        <v>78</v>
      </c>
      <c r="PDU68" s="59" t="s">
        <v>79</v>
      </c>
      <c r="PDV68" s="59" t="s">
        <v>80</v>
      </c>
      <c r="PDW68" s="59" t="s">
        <v>81</v>
      </c>
      <c r="PDX68" s="59" t="s">
        <v>64</v>
      </c>
      <c r="PDY68" s="59" t="s">
        <v>98</v>
      </c>
      <c r="PDZ68" s="59" t="s">
        <v>124</v>
      </c>
      <c r="PEA68" s="59" t="s">
        <v>101</v>
      </c>
      <c r="PEB68" s="56"/>
      <c r="PEC68" s="57"/>
      <c r="PED68" s="57"/>
      <c r="PEE68" s="57"/>
      <c r="PEF68" s="57"/>
      <c r="PEG68" s="57"/>
      <c r="PEH68" s="57"/>
      <c r="PEI68" s="59" t="s">
        <v>77</v>
      </c>
      <c r="PEJ68" s="59" t="s">
        <v>78</v>
      </c>
      <c r="PEK68" s="59" t="s">
        <v>79</v>
      </c>
      <c r="PEL68" s="59" t="s">
        <v>80</v>
      </c>
      <c r="PEM68" s="59" t="s">
        <v>81</v>
      </c>
      <c r="PEN68" s="59" t="s">
        <v>64</v>
      </c>
      <c r="PEO68" s="59" t="s">
        <v>98</v>
      </c>
      <c r="PEP68" s="59" t="s">
        <v>124</v>
      </c>
      <c r="PEQ68" s="59" t="s">
        <v>101</v>
      </c>
      <c r="PER68" s="56"/>
      <c r="PES68" s="57"/>
      <c r="PET68" s="57"/>
      <c r="PEU68" s="57"/>
      <c r="PEV68" s="57"/>
      <c r="PEW68" s="57"/>
      <c r="PEX68" s="57"/>
      <c r="PEY68" s="59" t="s">
        <v>77</v>
      </c>
      <c r="PEZ68" s="59" t="s">
        <v>78</v>
      </c>
      <c r="PFA68" s="59" t="s">
        <v>79</v>
      </c>
      <c r="PFB68" s="59" t="s">
        <v>80</v>
      </c>
      <c r="PFC68" s="59" t="s">
        <v>81</v>
      </c>
      <c r="PFD68" s="59" t="s">
        <v>64</v>
      </c>
      <c r="PFE68" s="59" t="s">
        <v>98</v>
      </c>
      <c r="PFF68" s="59" t="s">
        <v>124</v>
      </c>
      <c r="PFG68" s="59" t="s">
        <v>101</v>
      </c>
      <c r="PFH68" s="56"/>
      <c r="PFI68" s="57"/>
      <c r="PFJ68" s="57"/>
      <c r="PFK68" s="57"/>
      <c r="PFL68" s="57"/>
      <c r="PFM68" s="57"/>
      <c r="PFN68" s="57"/>
      <c r="PFO68" s="59" t="s">
        <v>77</v>
      </c>
      <c r="PFP68" s="59" t="s">
        <v>78</v>
      </c>
      <c r="PFQ68" s="59" t="s">
        <v>79</v>
      </c>
      <c r="PFR68" s="59" t="s">
        <v>80</v>
      </c>
      <c r="PFS68" s="59" t="s">
        <v>81</v>
      </c>
      <c r="PFT68" s="59" t="s">
        <v>64</v>
      </c>
      <c r="PFU68" s="59" t="s">
        <v>98</v>
      </c>
      <c r="PFV68" s="59" t="s">
        <v>124</v>
      </c>
      <c r="PFW68" s="59" t="s">
        <v>101</v>
      </c>
      <c r="PFX68" s="56"/>
      <c r="PFY68" s="57"/>
      <c r="PFZ68" s="57"/>
      <c r="PGA68" s="57"/>
      <c r="PGB68" s="57"/>
      <c r="PGC68" s="57"/>
      <c r="PGD68" s="57"/>
      <c r="PGE68" s="59" t="s">
        <v>77</v>
      </c>
      <c r="PGF68" s="59" t="s">
        <v>78</v>
      </c>
      <c r="PGG68" s="59" t="s">
        <v>79</v>
      </c>
      <c r="PGH68" s="59" t="s">
        <v>80</v>
      </c>
      <c r="PGI68" s="59" t="s">
        <v>81</v>
      </c>
      <c r="PGJ68" s="59" t="s">
        <v>64</v>
      </c>
      <c r="PGK68" s="59" t="s">
        <v>98</v>
      </c>
      <c r="PGL68" s="59" t="s">
        <v>124</v>
      </c>
      <c r="PGM68" s="59" t="s">
        <v>101</v>
      </c>
      <c r="PGN68" s="56"/>
      <c r="PGO68" s="57"/>
      <c r="PGP68" s="57"/>
      <c r="PGQ68" s="57"/>
      <c r="PGR68" s="57"/>
      <c r="PGS68" s="57"/>
      <c r="PGT68" s="57"/>
      <c r="PGU68" s="59" t="s">
        <v>77</v>
      </c>
      <c r="PGV68" s="59" t="s">
        <v>78</v>
      </c>
      <c r="PGW68" s="59" t="s">
        <v>79</v>
      </c>
      <c r="PGX68" s="59" t="s">
        <v>80</v>
      </c>
      <c r="PGY68" s="59" t="s">
        <v>81</v>
      </c>
      <c r="PGZ68" s="59" t="s">
        <v>64</v>
      </c>
      <c r="PHA68" s="59" t="s">
        <v>98</v>
      </c>
      <c r="PHB68" s="59" t="s">
        <v>124</v>
      </c>
      <c r="PHC68" s="59" t="s">
        <v>101</v>
      </c>
      <c r="PHD68" s="56"/>
      <c r="PHE68" s="57"/>
      <c r="PHF68" s="57"/>
      <c r="PHG68" s="57"/>
      <c r="PHH68" s="57"/>
      <c r="PHI68" s="57"/>
      <c r="PHJ68" s="57"/>
      <c r="PHK68" s="59" t="s">
        <v>77</v>
      </c>
      <c r="PHL68" s="59" t="s">
        <v>78</v>
      </c>
      <c r="PHM68" s="59" t="s">
        <v>79</v>
      </c>
      <c r="PHN68" s="59" t="s">
        <v>80</v>
      </c>
      <c r="PHO68" s="59" t="s">
        <v>81</v>
      </c>
      <c r="PHP68" s="59" t="s">
        <v>64</v>
      </c>
      <c r="PHQ68" s="59" t="s">
        <v>98</v>
      </c>
      <c r="PHR68" s="59" t="s">
        <v>124</v>
      </c>
      <c r="PHS68" s="59" t="s">
        <v>101</v>
      </c>
      <c r="PHT68" s="56"/>
      <c r="PHU68" s="57"/>
      <c r="PHV68" s="57"/>
      <c r="PHW68" s="57"/>
      <c r="PHX68" s="57"/>
      <c r="PHY68" s="57"/>
      <c r="PHZ68" s="57"/>
      <c r="PIA68" s="59" t="s">
        <v>77</v>
      </c>
      <c r="PIB68" s="59" t="s">
        <v>78</v>
      </c>
      <c r="PIC68" s="59" t="s">
        <v>79</v>
      </c>
      <c r="PID68" s="59" t="s">
        <v>80</v>
      </c>
      <c r="PIE68" s="59" t="s">
        <v>81</v>
      </c>
      <c r="PIF68" s="59" t="s">
        <v>64</v>
      </c>
      <c r="PIG68" s="59" t="s">
        <v>98</v>
      </c>
      <c r="PIH68" s="59" t="s">
        <v>124</v>
      </c>
      <c r="PII68" s="59" t="s">
        <v>101</v>
      </c>
      <c r="PIJ68" s="56"/>
      <c r="PIK68" s="57"/>
      <c r="PIL68" s="57"/>
      <c r="PIM68" s="57"/>
      <c r="PIN68" s="57"/>
      <c r="PIO68" s="57"/>
      <c r="PIP68" s="57"/>
      <c r="PIQ68" s="59" t="s">
        <v>77</v>
      </c>
      <c r="PIR68" s="59" t="s">
        <v>78</v>
      </c>
      <c r="PIS68" s="59" t="s">
        <v>79</v>
      </c>
      <c r="PIT68" s="59" t="s">
        <v>80</v>
      </c>
      <c r="PIU68" s="59" t="s">
        <v>81</v>
      </c>
      <c r="PIV68" s="59" t="s">
        <v>64</v>
      </c>
      <c r="PIW68" s="59" t="s">
        <v>98</v>
      </c>
      <c r="PIX68" s="59" t="s">
        <v>124</v>
      </c>
      <c r="PIY68" s="59" t="s">
        <v>101</v>
      </c>
      <c r="PIZ68" s="56"/>
      <c r="PJA68" s="57"/>
      <c r="PJB68" s="57"/>
      <c r="PJC68" s="57"/>
      <c r="PJD68" s="57"/>
      <c r="PJE68" s="57"/>
      <c r="PJF68" s="57"/>
      <c r="PJG68" s="59" t="s">
        <v>77</v>
      </c>
      <c r="PJH68" s="59" t="s">
        <v>78</v>
      </c>
      <c r="PJI68" s="59" t="s">
        <v>79</v>
      </c>
      <c r="PJJ68" s="59" t="s">
        <v>80</v>
      </c>
      <c r="PJK68" s="59" t="s">
        <v>81</v>
      </c>
      <c r="PJL68" s="59" t="s">
        <v>64</v>
      </c>
      <c r="PJM68" s="59" t="s">
        <v>98</v>
      </c>
      <c r="PJN68" s="59" t="s">
        <v>124</v>
      </c>
      <c r="PJO68" s="59" t="s">
        <v>101</v>
      </c>
      <c r="PJP68" s="56"/>
      <c r="PJQ68" s="57"/>
      <c r="PJR68" s="57"/>
      <c r="PJS68" s="57"/>
      <c r="PJT68" s="57"/>
      <c r="PJU68" s="57"/>
      <c r="PJV68" s="57"/>
      <c r="PJW68" s="59" t="s">
        <v>77</v>
      </c>
      <c r="PJX68" s="59" t="s">
        <v>78</v>
      </c>
      <c r="PJY68" s="59" t="s">
        <v>79</v>
      </c>
      <c r="PJZ68" s="59" t="s">
        <v>80</v>
      </c>
      <c r="PKA68" s="59" t="s">
        <v>81</v>
      </c>
      <c r="PKB68" s="59" t="s">
        <v>64</v>
      </c>
      <c r="PKC68" s="59" t="s">
        <v>98</v>
      </c>
      <c r="PKD68" s="59" t="s">
        <v>124</v>
      </c>
      <c r="PKE68" s="59" t="s">
        <v>101</v>
      </c>
      <c r="PKF68" s="56"/>
      <c r="PKG68" s="57"/>
      <c r="PKH68" s="57"/>
      <c r="PKI68" s="57"/>
      <c r="PKJ68" s="57"/>
      <c r="PKK68" s="57"/>
      <c r="PKL68" s="57"/>
      <c r="PKM68" s="59" t="s">
        <v>77</v>
      </c>
      <c r="PKN68" s="59" t="s">
        <v>78</v>
      </c>
      <c r="PKO68" s="59" t="s">
        <v>79</v>
      </c>
      <c r="PKP68" s="59" t="s">
        <v>80</v>
      </c>
      <c r="PKQ68" s="59" t="s">
        <v>81</v>
      </c>
      <c r="PKR68" s="59" t="s">
        <v>64</v>
      </c>
      <c r="PKS68" s="59" t="s">
        <v>98</v>
      </c>
      <c r="PKT68" s="59" t="s">
        <v>124</v>
      </c>
      <c r="PKU68" s="59" t="s">
        <v>101</v>
      </c>
      <c r="PKV68" s="56"/>
      <c r="PKW68" s="57"/>
      <c r="PKX68" s="57"/>
      <c r="PKY68" s="57"/>
      <c r="PKZ68" s="57"/>
      <c r="PLA68" s="57"/>
      <c r="PLB68" s="57"/>
      <c r="PLC68" s="59" t="s">
        <v>77</v>
      </c>
      <c r="PLD68" s="59" t="s">
        <v>78</v>
      </c>
      <c r="PLE68" s="59" t="s">
        <v>79</v>
      </c>
      <c r="PLF68" s="59" t="s">
        <v>80</v>
      </c>
      <c r="PLG68" s="59" t="s">
        <v>81</v>
      </c>
      <c r="PLH68" s="59" t="s">
        <v>64</v>
      </c>
      <c r="PLI68" s="59" t="s">
        <v>98</v>
      </c>
      <c r="PLJ68" s="59" t="s">
        <v>124</v>
      </c>
      <c r="PLK68" s="59" t="s">
        <v>101</v>
      </c>
      <c r="PLL68" s="56"/>
      <c r="PLM68" s="57"/>
      <c r="PLN68" s="57"/>
      <c r="PLO68" s="57"/>
      <c r="PLP68" s="57"/>
      <c r="PLQ68" s="57"/>
      <c r="PLR68" s="57"/>
      <c r="PLS68" s="59" t="s">
        <v>77</v>
      </c>
      <c r="PLT68" s="59" t="s">
        <v>78</v>
      </c>
      <c r="PLU68" s="59" t="s">
        <v>79</v>
      </c>
      <c r="PLV68" s="59" t="s">
        <v>80</v>
      </c>
      <c r="PLW68" s="59" t="s">
        <v>81</v>
      </c>
      <c r="PLX68" s="59" t="s">
        <v>64</v>
      </c>
      <c r="PLY68" s="59" t="s">
        <v>98</v>
      </c>
      <c r="PLZ68" s="59" t="s">
        <v>124</v>
      </c>
      <c r="PMA68" s="59" t="s">
        <v>101</v>
      </c>
      <c r="PMB68" s="56"/>
      <c r="PMC68" s="57"/>
      <c r="PMD68" s="57"/>
      <c r="PME68" s="57"/>
      <c r="PMF68" s="57"/>
      <c r="PMG68" s="57"/>
      <c r="PMH68" s="57"/>
      <c r="PMI68" s="59" t="s">
        <v>77</v>
      </c>
      <c r="PMJ68" s="59" t="s">
        <v>78</v>
      </c>
      <c r="PMK68" s="59" t="s">
        <v>79</v>
      </c>
      <c r="PML68" s="59" t="s">
        <v>80</v>
      </c>
      <c r="PMM68" s="59" t="s">
        <v>81</v>
      </c>
      <c r="PMN68" s="59" t="s">
        <v>64</v>
      </c>
      <c r="PMO68" s="59" t="s">
        <v>98</v>
      </c>
      <c r="PMP68" s="59" t="s">
        <v>124</v>
      </c>
      <c r="PMQ68" s="59" t="s">
        <v>101</v>
      </c>
      <c r="PMR68" s="56"/>
      <c r="PMS68" s="57"/>
      <c r="PMT68" s="57"/>
      <c r="PMU68" s="57"/>
      <c r="PMV68" s="57"/>
      <c r="PMW68" s="57"/>
      <c r="PMX68" s="57"/>
      <c r="PMY68" s="59" t="s">
        <v>77</v>
      </c>
      <c r="PMZ68" s="59" t="s">
        <v>78</v>
      </c>
      <c r="PNA68" s="59" t="s">
        <v>79</v>
      </c>
      <c r="PNB68" s="59" t="s">
        <v>80</v>
      </c>
      <c r="PNC68" s="59" t="s">
        <v>81</v>
      </c>
      <c r="PND68" s="59" t="s">
        <v>64</v>
      </c>
      <c r="PNE68" s="59" t="s">
        <v>98</v>
      </c>
      <c r="PNF68" s="59" t="s">
        <v>124</v>
      </c>
      <c r="PNG68" s="59" t="s">
        <v>101</v>
      </c>
      <c r="PNH68" s="56"/>
      <c r="PNI68" s="57"/>
      <c r="PNJ68" s="57"/>
      <c r="PNK68" s="57"/>
      <c r="PNL68" s="57"/>
      <c r="PNM68" s="57"/>
      <c r="PNN68" s="57"/>
      <c r="PNO68" s="59" t="s">
        <v>77</v>
      </c>
      <c r="PNP68" s="59" t="s">
        <v>78</v>
      </c>
      <c r="PNQ68" s="59" t="s">
        <v>79</v>
      </c>
      <c r="PNR68" s="59" t="s">
        <v>80</v>
      </c>
      <c r="PNS68" s="59" t="s">
        <v>81</v>
      </c>
      <c r="PNT68" s="59" t="s">
        <v>64</v>
      </c>
      <c r="PNU68" s="59" t="s">
        <v>98</v>
      </c>
      <c r="PNV68" s="59" t="s">
        <v>124</v>
      </c>
      <c r="PNW68" s="59" t="s">
        <v>101</v>
      </c>
      <c r="PNX68" s="56"/>
      <c r="PNY68" s="57"/>
      <c r="PNZ68" s="57"/>
      <c r="POA68" s="57"/>
      <c r="POB68" s="57"/>
      <c r="POC68" s="57"/>
      <c r="POD68" s="57"/>
      <c r="POE68" s="59" t="s">
        <v>77</v>
      </c>
      <c r="POF68" s="59" t="s">
        <v>78</v>
      </c>
      <c r="POG68" s="59" t="s">
        <v>79</v>
      </c>
      <c r="POH68" s="59" t="s">
        <v>80</v>
      </c>
      <c r="POI68" s="59" t="s">
        <v>81</v>
      </c>
      <c r="POJ68" s="59" t="s">
        <v>64</v>
      </c>
      <c r="POK68" s="59" t="s">
        <v>98</v>
      </c>
      <c r="POL68" s="59" t="s">
        <v>124</v>
      </c>
      <c r="POM68" s="59" t="s">
        <v>101</v>
      </c>
      <c r="PON68" s="56"/>
      <c r="POO68" s="57"/>
      <c r="POP68" s="57"/>
      <c r="POQ68" s="57"/>
      <c r="POR68" s="57"/>
      <c r="POS68" s="57"/>
      <c r="POT68" s="57"/>
      <c r="POU68" s="59" t="s">
        <v>77</v>
      </c>
      <c r="POV68" s="59" t="s">
        <v>78</v>
      </c>
      <c r="POW68" s="59" t="s">
        <v>79</v>
      </c>
      <c r="POX68" s="59" t="s">
        <v>80</v>
      </c>
      <c r="POY68" s="59" t="s">
        <v>81</v>
      </c>
      <c r="POZ68" s="59" t="s">
        <v>64</v>
      </c>
      <c r="PPA68" s="59" t="s">
        <v>98</v>
      </c>
      <c r="PPB68" s="59" t="s">
        <v>124</v>
      </c>
      <c r="PPC68" s="59" t="s">
        <v>101</v>
      </c>
      <c r="PPD68" s="56"/>
      <c r="PPE68" s="57"/>
      <c r="PPF68" s="57"/>
      <c r="PPG68" s="57"/>
      <c r="PPH68" s="57"/>
      <c r="PPI68" s="57"/>
      <c r="PPJ68" s="57"/>
      <c r="PPK68" s="59" t="s">
        <v>77</v>
      </c>
      <c r="PPL68" s="59" t="s">
        <v>78</v>
      </c>
      <c r="PPM68" s="59" t="s">
        <v>79</v>
      </c>
      <c r="PPN68" s="59" t="s">
        <v>80</v>
      </c>
      <c r="PPO68" s="59" t="s">
        <v>81</v>
      </c>
      <c r="PPP68" s="59" t="s">
        <v>64</v>
      </c>
      <c r="PPQ68" s="59" t="s">
        <v>98</v>
      </c>
      <c r="PPR68" s="59" t="s">
        <v>124</v>
      </c>
      <c r="PPS68" s="59" t="s">
        <v>101</v>
      </c>
      <c r="PPT68" s="56"/>
      <c r="PPU68" s="57"/>
      <c r="PPV68" s="57"/>
      <c r="PPW68" s="57"/>
      <c r="PPX68" s="57"/>
      <c r="PPY68" s="57"/>
      <c r="PPZ68" s="57"/>
      <c r="PQA68" s="59" t="s">
        <v>77</v>
      </c>
      <c r="PQB68" s="59" t="s">
        <v>78</v>
      </c>
      <c r="PQC68" s="59" t="s">
        <v>79</v>
      </c>
      <c r="PQD68" s="59" t="s">
        <v>80</v>
      </c>
      <c r="PQE68" s="59" t="s">
        <v>81</v>
      </c>
      <c r="PQF68" s="59" t="s">
        <v>64</v>
      </c>
      <c r="PQG68" s="59" t="s">
        <v>98</v>
      </c>
      <c r="PQH68" s="59" t="s">
        <v>124</v>
      </c>
      <c r="PQI68" s="59" t="s">
        <v>101</v>
      </c>
      <c r="PQJ68" s="56"/>
      <c r="PQK68" s="57"/>
      <c r="PQL68" s="57"/>
      <c r="PQM68" s="57"/>
      <c r="PQN68" s="57"/>
      <c r="PQO68" s="57"/>
      <c r="PQP68" s="57"/>
      <c r="PQQ68" s="59" t="s">
        <v>77</v>
      </c>
      <c r="PQR68" s="59" t="s">
        <v>78</v>
      </c>
      <c r="PQS68" s="59" t="s">
        <v>79</v>
      </c>
      <c r="PQT68" s="59" t="s">
        <v>80</v>
      </c>
      <c r="PQU68" s="59" t="s">
        <v>81</v>
      </c>
      <c r="PQV68" s="59" t="s">
        <v>64</v>
      </c>
      <c r="PQW68" s="59" t="s">
        <v>98</v>
      </c>
      <c r="PQX68" s="59" t="s">
        <v>124</v>
      </c>
      <c r="PQY68" s="59" t="s">
        <v>101</v>
      </c>
      <c r="PQZ68" s="56"/>
      <c r="PRA68" s="57"/>
      <c r="PRB68" s="57"/>
      <c r="PRC68" s="57"/>
      <c r="PRD68" s="57"/>
      <c r="PRE68" s="57"/>
      <c r="PRF68" s="57"/>
      <c r="PRG68" s="59" t="s">
        <v>77</v>
      </c>
      <c r="PRH68" s="59" t="s">
        <v>78</v>
      </c>
      <c r="PRI68" s="59" t="s">
        <v>79</v>
      </c>
      <c r="PRJ68" s="59" t="s">
        <v>80</v>
      </c>
      <c r="PRK68" s="59" t="s">
        <v>81</v>
      </c>
      <c r="PRL68" s="59" t="s">
        <v>64</v>
      </c>
      <c r="PRM68" s="59" t="s">
        <v>98</v>
      </c>
      <c r="PRN68" s="59" t="s">
        <v>124</v>
      </c>
      <c r="PRO68" s="59" t="s">
        <v>101</v>
      </c>
      <c r="PRP68" s="56"/>
      <c r="PRQ68" s="57"/>
      <c r="PRR68" s="57"/>
      <c r="PRS68" s="57"/>
      <c r="PRT68" s="57"/>
      <c r="PRU68" s="57"/>
      <c r="PRV68" s="57"/>
      <c r="PRW68" s="59" t="s">
        <v>77</v>
      </c>
      <c r="PRX68" s="59" t="s">
        <v>78</v>
      </c>
      <c r="PRY68" s="59" t="s">
        <v>79</v>
      </c>
      <c r="PRZ68" s="59" t="s">
        <v>80</v>
      </c>
      <c r="PSA68" s="59" t="s">
        <v>81</v>
      </c>
      <c r="PSB68" s="59" t="s">
        <v>64</v>
      </c>
      <c r="PSC68" s="59" t="s">
        <v>98</v>
      </c>
      <c r="PSD68" s="59" t="s">
        <v>124</v>
      </c>
      <c r="PSE68" s="59" t="s">
        <v>101</v>
      </c>
      <c r="PSF68" s="56"/>
      <c r="PSG68" s="57"/>
      <c r="PSH68" s="57"/>
      <c r="PSI68" s="57"/>
      <c r="PSJ68" s="57"/>
      <c r="PSK68" s="57"/>
      <c r="PSL68" s="57"/>
      <c r="PSM68" s="59" t="s">
        <v>77</v>
      </c>
      <c r="PSN68" s="59" t="s">
        <v>78</v>
      </c>
      <c r="PSO68" s="59" t="s">
        <v>79</v>
      </c>
      <c r="PSP68" s="59" t="s">
        <v>80</v>
      </c>
      <c r="PSQ68" s="59" t="s">
        <v>81</v>
      </c>
      <c r="PSR68" s="59" t="s">
        <v>64</v>
      </c>
      <c r="PSS68" s="59" t="s">
        <v>98</v>
      </c>
      <c r="PST68" s="59" t="s">
        <v>124</v>
      </c>
      <c r="PSU68" s="59" t="s">
        <v>101</v>
      </c>
      <c r="PSV68" s="56"/>
      <c r="PSW68" s="57"/>
      <c r="PSX68" s="57"/>
      <c r="PSY68" s="57"/>
      <c r="PSZ68" s="57"/>
      <c r="PTA68" s="57"/>
      <c r="PTB68" s="57"/>
      <c r="PTC68" s="59" t="s">
        <v>77</v>
      </c>
      <c r="PTD68" s="59" t="s">
        <v>78</v>
      </c>
      <c r="PTE68" s="59" t="s">
        <v>79</v>
      </c>
      <c r="PTF68" s="59" t="s">
        <v>80</v>
      </c>
      <c r="PTG68" s="59" t="s">
        <v>81</v>
      </c>
      <c r="PTH68" s="59" t="s">
        <v>64</v>
      </c>
      <c r="PTI68" s="59" t="s">
        <v>98</v>
      </c>
      <c r="PTJ68" s="59" t="s">
        <v>124</v>
      </c>
      <c r="PTK68" s="59" t="s">
        <v>101</v>
      </c>
      <c r="PTL68" s="56"/>
      <c r="PTM68" s="57"/>
      <c r="PTN68" s="57"/>
      <c r="PTO68" s="57"/>
      <c r="PTP68" s="57"/>
      <c r="PTQ68" s="57"/>
      <c r="PTR68" s="57"/>
      <c r="PTS68" s="59" t="s">
        <v>77</v>
      </c>
      <c r="PTT68" s="59" t="s">
        <v>78</v>
      </c>
      <c r="PTU68" s="59" t="s">
        <v>79</v>
      </c>
      <c r="PTV68" s="59" t="s">
        <v>80</v>
      </c>
      <c r="PTW68" s="59" t="s">
        <v>81</v>
      </c>
      <c r="PTX68" s="59" t="s">
        <v>64</v>
      </c>
      <c r="PTY68" s="59" t="s">
        <v>98</v>
      </c>
      <c r="PTZ68" s="59" t="s">
        <v>124</v>
      </c>
      <c r="PUA68" s="59" t="s">
        <v>101</v>
      </c>
      <c r="PUB68" s="56"/>
      <c r="PUC68" s="57"/>
      <c r="PUD68" s="57"/>
      <c r="PUE68" s="57"/>
      <c r="PUF68" s="57"/>
      <c r="PUG68" s="57"/>
      <c r="PUH68" s="57"/>
      <c r="PUI68" s="59" t="s">
        <v>77</v>
      </c>
      <c r="PUJ68" s="59" t="s">
        <v>78</v>
      </c>
      <c r="PUK68" s="59" t="s">
        <v>79</v>
      </c>
      <c r="PUL68" s="59" t="s">
        <v>80</v>
      </c>
      <c r="PUM68" s="59" t="s">
        <v>81</v>
      </c>
      <c r="PUN68" s="59" t="s">
        <v>64</v>
      </c>
      <c r="PUO68" s="59" t="s">
        <v>98</v>
      </c>
      <c r="PUP68" s="59" t="s">
        <v>124</v>
      </c>
      <c r="PUQ68" s="59" t="s">
        <v>101</v>
      </c>
      <c r="PUR68" s="56"/>
      <c r="PUS68" s="57"/>
      <c r="PUT68" s="57"/>
      <c r="PUU68" s="57"/>
      <c r="PUV68" s="57"/>
      <c r="PUW68" s="57"/>
      <c r="PUX68" s="57"/>
      <c r="PUY68" s="59" t="s">
        <v>77</v>
      </c>
      <c r="PUZ68" s="59" t="s">
        <v>78</v>
      </c>
      <c r="PVA68" s="59" t="s">
        <v>79</v>
      </c>
      <c r="PVB68" s="59" t="s">
        <v>80</v>
      </c>
      <c r="PVC68" s="59" t="s">
        <v>81</v>
      </c>
      <c r="PVD68" s="59" t="s">
        <v>64</v>
      </c>
      <c r="PVE68" s="59" t="s">
        <v>98</v>
      </c>
      <c r="PVF68" s="59" t="s">
        <v>124</v>
      </c>
      <c r="PVG68" s="59" t="s">
        <v>101</v>
      </c>
      <c r="PVH68" s="56"/>
      <c r="PVI68" s="57"/>
      <c r="PVJ68" s="57"/>
      <c r="PVK68" s="57"/>
      <c r="PVL68" s="57"/>
      <c r="PVM68" s="57"/>
      <c r="PVN68" s="57"/>
      <c r="PVO68" s="59" t="s">
        <v>77</v>
      </c>
      <c r="PVP68" s="59" t="s">
        <v>78</v>
      </c>
      <c r="PVQ68" s="59" t="s">
        <v>79</v>
      </c>
      <c r="PVR68" s="59" t="s">
        <v>80</v>
      </c>
      <c r="PVS68" s="59" t="s">
        <v>81</v>
      </c>
      <c r="PVT68" s="59" t="s">
        <v>64</v>
      </c>
      <c r="PVU68" s="59" t="s">
        <v>98</v>
      </c>
      <c r="PVV68" s="59" t="s">
        <v>124</v>
      </c>
      <c r="PVW68" s="59" t="s">
        <v>101</v>
      </c>
      <c r="PVX68" s="56"/>
      <c r="PVY68" s="57"/>
      <c r="PVZ68" s="57"/>
      <c r="PWA68" s="57"/>
      <c r="PWB68" s="57"/>
      <c r="PWC68" s="57"/>
      <c r="PWD68" s="57"/>
      <c r="PWE68" s="59" t="s">
        <v>77</v>
      </c>
      <c r="PWF68" s="59" t="s">
        <v>78</v>
      </c>
      <c r="PWG68" s="59" t="s">
        <v>79</v>
      </c>
      <c r="PWH68" s="59" t="s">
        <v>80</v>
      </c>
      <c r="PWI68" s="59" t="s">
        <v>81</v>
      </c>
      <c r="PWJ68" s="59" t="s">
        <v>64</v>
      </c>
      <c r="PWK68" s="59" t="s">
        <v>98</v>
      </c>
      <c r="PWL68" s="59" t="s">
        <v>124</v>
      </c>
      <c r="PWM68" s="59" t="s">
        <v>101</v>
      </c>
      <c r="PWN68" s="56"/>
      <c r="PWO68" s="57"/>
      <c r="PWP68" s="57"/>
      <c r="PWQ68" s="57"/>
      <c r="PWR68" s="57"/>
      <c r="PWS68" s="57"/>
      <c r="PWT68" s="57"/>
      <c r="PWU68" s="59" t="s">
        <v>77</v>
      </c>
      <c r="PWV68" s="59" t="s">
        <v>78</v>
      </c>
      <c r="PWW68" s="59" t="s">
        <v>79</v>
      </c>
      <c r="PWX68" s="59" t="s">
        <v>80</v>
      </c>
      <c r="PWY68" s="59" t="s">
        <v>81</v>
      </c>
      <c r="PWZ68" s="59" t="s">
        <v>64</v>
      </c>
      <c r="PXA68" s="59" t="s">
        <v>98</v>
      </c>
      <c r="PXB68" s="59" t="s">
        <v>124</v>
      </c>
      <c r="PXC68" s="59" t="s">
        <v>101</v>
      </c>
      <c r="PXD68" s="56"/>
      <c r="PXE68" s="57"/>
      <c r="PXF68" s="57"/>
      <c r="PXG68" s="57"/>
      <c r="PXH68" s="57"/>
      <c r="PXI68" s="57"/>
      <c r="PXJ68" s="57"/>
      <c r="PXK68" s="59" t="s">
        <v>77</v>
      </c>
      <c r="PXL68" s="59" t="s">
        <v>78</v>
      </c>
      <c r="PXM68" s="59" t="s">
        <v>79</v>
      </c>
      <c r="PXN68" s="59" t="s">
        <v>80</v>
      </c>
      <c r="PXO68" s="59" t="s">
        <v>81</v>
      </c>
      <c r="PXP68" s="59" t="s">
        <v>64</v>
      </c>
      <c r="PXQ68" s="59" t="s">
        <v>98</v>
      </c>
      <c r="PXR68" s="59" t="s">
        <v>124</v>
      </c>
      <c r="PXS68" s="59" t="s">
        <v>101</v>
      </c>
      <c r="PXT68" s="56"/>
      <c r="PXU68" s="57"/>
      <c r="PXV68" s="57"/>
      <c r="PXW68" s="57"/>
      <c r="PXX68" s="57"/>
      <c r="PXY68" s="57"/>
      <c r="PXZ68" s="57"/>
      <c r="PYA68" s="59" t="s">
        <v>77</v>
      </c>
      <c r="PYB68" s="59" t="s">
        <v>78</v>
      </c>
      <c r="PYC68" s="59" t="s">
        <v>79</v>
      </c>
      <c r="PYD68" s="59" t="s">
        <v>80</v>
      </c>
      <c r="PYE68" s="59" t="s">
        <v>81</v>
      </c>
      <c r="PYF68" s="59" t="s">
        <v>64</v>
      </c>
      <c r="PYG68" s="59" t="s">
        <v>98</v>
      </c>
      <c r="PYH68" s="59" t="s">
        <v>124</v>
      </c>
      <c r="PYI68" s="59" t="s">
        <v>101</v>
      </c>
      <c r="PYJ68" s="56"/>
      <c r="PYK68" s="57"/>
      <c r="PYL68" s="57"/>
      <c r="PYM68" s="57"/>
      <c r="PYN68" s="57"/>
      <c r="PYO68" s="57"/>
      <c r="PYP68" s="57"/>
      <c r="PYQ68" s="59" t="s">
        <v>77</v>
      </c>
      <c r="PYR68" s="59" t="s">
        <v>78</v>
      </c>
      <c r="PYS68" s="59" t="s">
        <v>79</v>
      </c>
      <c r="PYT68" s="59" t="s">
        <v>80</v>
      </c>
      <c r="PYU68" s="59" t="s">
        <v>81</v>
      </c>
      <c r="PYV68" s="59" t="s">
        <v>64</v>
      </c>
      <c r="PYW68" s="59" t="s">
        <v>98</v>
      </c>
      <c r="PYX68" s="59" t="s">
        <v>124</v>
      </c>
      <c r="PYY68" s="59" t="s">
        <v>101</v>
      </c>
      <c r="PYZ68" s="56"/>
      <c r="PZA68" s="57"/>
      <c r="PZB68" s="57"/>
      <c r="PZC68" s="57"/>
      <c r="PZD68" s="57"/>
      <c r="PZE68" s="57"/>
      <c r="PZF68" s="57"/>
      <c r="PZG68" s="59" t="s">
        <v>77</v>
      </c>
      <c r="PZH68" s="59" t="s">
        <v>78</v>
      </c>
      <c r="PZI68" s="59" t="s">
        <v>79</v>
      </c>
      <c r="PZJ68" s="59" t="s">
        <v>80</v>
      </c>
      <c r="PZK68" s="59" t="s">
        <v>81</v>
      </c>
      <c r="PZL68" s="59" t="s">
        <v>64</v>
      </c>
      <c r="PZM68" s="59" t="s">
        <v>98</v>
      </c>
      <c r="PZN68" s="59" t="s">
        <v>124</v>
      </c>
      <c r="PZO68" s="59" t="s">
        <v>101</v>
      </c>
      <c r="PZP68" s="56"/>
      <c r="PZQ68" s="57"/>
      <c r="PZR68" s="57"/>
      <c r="PZS68" s="57"/>
      <c r="PZT68" s="57"/>
      <c r="PZU68" s="57"/>
      <c r="PZV68" s="57"/>
      <c r="PZW68" s="59" t="s">
        <v>77</v>
      </c>
      <c r="PZX68" s="59" t="s">
        <v>78</v>
      </c>
      <c r="PZY68" s="59" t="s">
        <v>79</v>
      </c>
      <c r="PZZ68" s="59" t="s">
        <v>80</v>
      </c>
      <c r="QAA68" s="59" t="s">
        <v>81</v>
      </c>
      <c r="QAB68" s="59" t="s">
        <v>64</v>
      </c>
      <c r="QAC68" s="59" t="s">
        <v>98</v>
      </c>
      <c r="QAD68" s="59" t="s">
        <v>124</v>
      </c>
      <c r="QAE68" s="59" t="s">
        <v>101</v>
      </c>
      <c r="QAF68" s="56"/>
      <c r="QAG68" s="57"/>
      <c r="QAH68" s="57"/>
      <c r="QAI68" s="57"/>
      <c r="QAJ68" s="57"/>
      <c r="QAK68" s="57"/>
      <c r="QAL68" s="57"/>
      <c r="QAM68" s="59" t="s">
        <v>77</v>
      </c>
      <c r="QAN68" s="59" t="s">
        <v>78</v>
      </c>
      <c r="QAO68" s="59" t="s">
        <v>79</v>
      </c>
      <c r="QAP68" s="59" t="s">
        <v>80</v>
      </c>
      <c r="QAQ68" s="59" t="s">
        <v>81</v>
      </c>
      <c r="QAR68" s="59" t="s">
        <v>64</v>
      </c>
      <c r="QAS68" s="59" t="s">
        <v>98</v>
      </c>
      <c r="QAT68" s="59" t="s">
        <v>124</v>
      </c>
      <c r="QAU68" s="59" t="s">
        <v>101</v>
      </c>
      <c r="QAV68" s="56"/>
      <c r="QAW68" s="57"/>
      <c r="QAX68" s="57"/>
      <c r="QAY68" s="57"/>
      <c r="QAZ68" s="57"/>
      <c r="QBA68" s="57"/>
      <c r="QBB68" s="57"/>
      <c r="QBC68" s="59" t="s">
        <v>77</v>
      </c>
      <c r="QBD68" s="59" t="s">
        <v>78</v>
      </c>
      <c r="QBE68" s="59" t="s">
        <v>79</v>
      </c>
      <c r="QBF68" s="59" t="s">
        <v>80</v>
      </c>
      <c r="QBG68" s="59" t="s">
        <v>81</v>
      </c>
      <c r="QBH68" s="59" t="s">
        <v>64</v>
      </c>
      <c r="QBI68" s="59" t="s">
        <v>98</v>
      </c>
      <c r="QBJ68" s="59" t="s">
        <v>124</v>
      </c>
      <c r="QBK68" s="59" t="s">
        <v>101</v>
      </c>
      <c r="QBL68" s="56"/>
      <c r="QBM68" s="57"/>
      <c r="QBN68" s="57"/>
      <c r="QBO68" s="57"/>
      <c r="QBP68" s="57"/>
      <c r="QBQ68" s="57"/>
      <c r="QBR68" s="57"/>
      <c r="QBS68" s="59" t="s">
        <v>77</v>
      </c>
      <c r="QBT68" s="59" t="s">
        <v>78</v>
      </c>
      <c r="QBU68" s="59" t="s">
        <v>79</v>
      </c>
      <c r="QBV68" s="59" t="s">
        <v>80</v>
      </c>
      <c r="QBW68" s="59" t="s">
        <v>81</v>
      </c>
      <c r="QBX68" s="59" t="s">
        <v>64</v>
      </c>
      <c r="QBY68" s="59" t="s">
        <v>98</v>
      </c>
      <c r="QBZ68" s="59" t="s">
        <v>124</v>
      </c>
      <c r="QCA68" s="59" t="s">
        <v>101</v>
      </c>
      <c r="QCB68" s="56"/>
      <c r="QCC68" s="57"/>
      <c r="QCD68" s="57"/>
      <c r="QCE68" s="57"/>
      <c r="QCF68" s="57"/>
      <c r="QCG68" s="57"/>
      <c r="QCH68" s="57"/>
      <c r="QCI68" s="59" t="s">
        <v>77</v>
      </c>
      <c r="QCJ68" s="59" t="s">
        <v>78</v>
      </c>
      <c r="QCK68" s="59" t="s">
        <v>79</v>
      </c>
      <c r="QCL68" s="59" t="s">
        <v>80</v>
      </c>
      <c r="QCM68" s="59" t="s">
        <v>81</v>
      </c>
      <c r="QCN68" s="59" t="s">
        <v>64</v>
      </c>
      <c r="QCO68" s="59" t="s">
        <v>98</v>
      </c>
      <c r="QCP68" s="59" t="s">
        <v>124</v>
      </c>
      <c r="QCQ68" s="59" t="s">
        <v>101</v>
      </c>
      <c r="QCR68" s="56"/>
      <c r="QCS68" s="57"/>
      <c r="QCT68" s="57"/>
      <c r="QCU68" s="57"/>
      <c r="QCV68" s="57"/>
      <c r="QCW68" s="57"/>
      <c r="QCX68" s="57"/>
      <c r="QCY68" s="59" t="s">
        <v>77</v>
      </c>
      <c r="QCZ68" s="59" t="s">
        <v>78</v>
      </c>
      <c r="QDA68" s="59" t="s">
        <v>79</v>
      </c>
      <c r="QDB68" s="59" t="s">
        <v>80</v>
      </c>
      <c r="QDC68" s="59" t="s">
        <v>81</v>
      </c>
      <c r="QDD68" s="59" t="s">
        <v>64</v>
      </c>
      <c r="QDE68" s="59" t="s">
        <v>98</v>
      </c>
      <c r="QDF68" s="59" t="s">
        <v>124</v>
      </c>
      <c r="QDG68" s="59" t="s">
        <v>101</v>
      </c>
      <c r="QDH68" s="56"/>
      <c r="QDI68" s="57"/>
      <c r="QDJ68" s="57"/>
      <c r="QDK68" s="57"/>
      <c r="QDL68" s="57"/>
      <c r="QDM68" s="57"/>
      <c r="QDN68" s="57"/>
      <c r="QDO68" s="59" t="s">
        <v>77</v>
      </c>
      <c r="QDP68" s="59" t="s">
        <v>78</v>
      </c>
      <c r="QDQ68" s="59" t="s">
        <v>79</v>
      </c>
      <c r="QDR68" s="59" t="s">
        <v>80</v>
      </c>
      <c r="QDS68" s="59" t="s">
        <v>81</v>
      </c>
      <c r="QDT68" s="59" t="s">
        <v>64</v>
      </c>
      <c r="QDU68" s="59" t="s">
        <v>98</v>
      </c>
      <c r="QDV68" s="59" t="s">
        <v>124</v>
      </c>
      <c r="QDW68" s="59" t="s">
        <v>101</v>
      </c>
      <c r="QDX68" s="56"/>
      <c r="QDY68" s="57"/>
      <c r="QDZ68" s="57"/>
      <c r="QEA68" s="57"/>
      <c r="QEB68" s="57"/>
      <c r="QEC68" s="57"/>
      <c r="QED68" s="57"/>
      <c r="QEE68" s="59" t="s">
        <v>77</v>
      </c>
      <c r="QEF68" s="59" t="s">
        <v>78</v>
      </c>
      <c r="QEG68" s="59" t="s">
        <v>79</v>
      </c>
      <c r="QEH68" s="59" t="s">
        <v>80</v>
      </c>
      <c r="QEI68" s="59" t="s">
        <v>81</v>
      </c>
      <c r="QEJ68" s="59" t="s">
        <v>64</v>
      </c>
      <c r="QEK68" s="59" t="s">
        <v>98</v>
      </c>
      <c r="QEL68" s="59" t="s">
        <v>124</v>
      </c>
      <c r="QEM68" s="59" t="s">
        <v>101</v>
      </c>
      <c r="QEN68" s="56"/>
      <c r="QEO68" s="57"/>
      <c r="QEP68" s="57"/>
      <c r="QEQ68" s="57"/>
      <c r="QER68" s="57"/>
      <c r="QES68" s="57"/>
      <c r="QET68" s="57"/>
      <c r="QEU68" s="59" t="s">
        <v>77</v>
      </c>
      <c r="QEV68" s="59" t="s">
        <v>78</v>
      </c>
      <c r="QEW68" s="59" t="s">
        <v>79</v>
      </c>
      <c r="QEX68" s="59" t="s">
        <v>80</v>
      </c>
      <c r="QEY68" s="59" t="s">
        <v>81</v>
      </c>
      <c r="QEZ68" s="59" t="s">
        <v>64</v>
      </c>
      <c r="QFA68" s="59" t="s">
        <v>98</v>
      </c>
      <c r="QFB68" s="59" t="s">
        <v>124</v>
      </c>
      <c r="QFC68" s="59" t="s">
        <v>101</v>
      </c>
      <c r="QFD68" s="56"/>
      <c r="QFE68" s="57"/>
      <c r="QFF68" s="57"/>
      <c r="QFG68" s="57"/>
      <c r="QFH68" s="57"/>
      <c r="QFI68" s="57"/>
      <c r="QFJ68" s="57"/>
      <c r="QFK68" s="59" t="s">
        <v>77</v>
      </c>
      <c r="QFL68" s="59" t="s">
        <v>78</v>
      </c>
      <c r="QFM68" s="59" t="s">
        <v>79</v>
      </c>
      <c r="QFN68" s="59" t="s">
        <v>80</v>
      </c>
      <c r="QFO68" s="59" t="s">
        <v>81</v>
      </c>
      <c r="QFP68" s="59" t="s">
        <v>64</v>
      </c>
      <c r="QFQ68" s="59" t="s">
        <v>98</v>
      </c>
      <c r="QFR68" s="59" t="s">
        <v>124</v>
      </c>
      <c r="QFS68" s="59" t="s">
        <v>101</v>
      </c>
      <c r="QFT68" s="56"/>
      <c r="QFU68" s="57"/>
      <c r="QFV68" s="57"/>
      <c r="QFW68" s="57"/>
      <c r="QFX68" s="57"/>
      <c r="QFY68" s="57"/>
      <c r="QFZ68" s="57"/>
      <c r="QGA68" s="59" t="s">
        <v>77</v>
      </c>
      <c r="QGB68" s="59" t="s">
        <v>78</v>
      </c>
      <c r="QGC68" s="59" t="s">
        <v>79</v>
      </c>
      <c r="QGD68" s="59" t="s">
        <v>80</v>
      </c>
      <c r="QGE68" s="59" t="s">
        <v>81</v>
      </c>
      <c r="QGF68" s="59" t="s">
        <v>64</v>
      </c>
      <c r="QGG68" s="59" t="s">
        <v>98</v>
      </c>
      <c r="QGH68" s="59" t="s">
        <v>124</v>
      </c>
      <c r="QGI68" s="59" t="s">
        <v>101</v>
      </c>
      <c r="QGJ68" s="56"/>
      <c r="QGK68" s="57"/>
      <c r="QGL68" s="57"/>
      <c r="QGM68" s="57"/>
      <c r="QGN68" s="57"/>
      <c r="QGO68" s="57"/>
      <c r="QGP68" s="57"/>
      <c r="QGQ68" s="59" t="s">
        <v>77</v>
      </c>
      <c r="QGR68" s="59" t="s">
        <v>78</v>
      </c>
      <c r="QGS68" s="59" t="s">
        <v>79</v>
      </c>
      <c r="QGT68" s="59" t="s">
        <v>80</v>
      </c>
      <c r="QGU68" s="59" t="s">
        <v>81</v>
      </c>
      <c r="QGV68" s="59" t="s">
        <v>64</v>
      </c>
      <c r="QGW68" s="59" t="s">
        <v>98</v>
      </c>
      <c r="QGX68" s="59" t="s">
        <v>124</v>
      </c>
      <c r="QGY68" s="59" t="s">
        <v>101</v>
      </c>
      <c r="QGZ68" s="56"/>
      <c r="QHA68" s="57"/>
      <c r="QHB68" s="57"/>
      <c r="QHC68" s="57"/>
      <c r="QHD68" s="57"/>
      <c r="QHE68" s="57"/>
      <c r="QHF68" s="57"/>
      <c r="QHG68" s="59" t="s">
        <v>77</v>
      </c>
      <c r="QHH68" s="59" t="s">
        <v>78</v>
      </c>
      <c r="QHI68" s="59" t="s">
        <v>79</v>
      </c>
      <c r="QHJ68" s="59" t="s">
        <v>80</v>
      </c>
      <c r="QHK68" s="59" t="s">
        <v>81</v>
      </c>
      <c r="QHL68" s="59" t="s">
        <v>64</v>
      </c>
      <c r="QHM68" s="59" t="s">
        <v>98</v>
      </c>
      <c r="QHN68" s="59" t="s">
        <v>124</v>
      </c>
      <c r="QHO68" s="59" t="s">
        <v>101</v>
      </c>
      <c r="QHP68" s="56"/>
      <c r="QHQ68" s="57"/>
      <c r="QHR68" s="57"/>
      <c r="QHS68" s="57"/>
      <c r="QHT68" s="57"/>
      <c r="QHU68" s="57"/>
      <c r="QHV68" s="57"/>
      <c r="QHW68" s="59" t="s">
        <v>77</v>
      </c>
      <c r="QHX68" s="59" t="s">
        <v>78</v>
      </c>
      <c r="QHY68" s="59" t="s">
        <v>79</v>
      </c>
      <c r="QHZ68" s="59" t="s">
        <v>80</v>
      </c>
      <c r="QIA68" s="59" t="s">
        <v>81</v>
      </c>
      <c r="QIB68" s="59" t="s">
        <v>64</v>
      </c>
      <c r="QIC68" s="59" t="s">
        <v>98</v>
      </c>
      <c r="QID68" s="59" t="s">
        <v>124</v>
      </c>
      <c r="QIE68" s="59" t="s">
        <v>101</v>
      </c>
      <c r="QIF68" s="56"/>
      <c r="QIG68" s="57"/>
      <c r="QIH68" s="57"/>
      <c r="QII68" s="57"/>
      <c r="QIJ68" s="57"/>
      <c r="QIK68" s="57"/>
      <c r="QIL68" s="57"/>
      <c r="QIM68" s="59" t="s">
        <v>77</v>
      </c>
      <c r="QIN68" s="59" t="s">
        <v>78</v>
      </c>
      <c r="QIO68" s="59" t="s">
        <v>79</v>
      </c>
      <c r="QIP68" s="59" t="s">
        <v>80</v>
      </c>
      <c r="QIQ68" s="59" t="s">
        <v>81</v>
      </c>
      <c r="QIR68" s="59" t="s">
        <v>64</v>
      </c>
      <c r="QIS68" s="59" t="s">
        <v>98</v>
      </c>
      <c r="QIT68" s="59" t="s">
        <v>124</v>
      </c>
      <c r="QIU68" s="59" t="s">
        <v>101</v>
      </c>
      <c r="QIV68" s="56"/>
      <c r="QIW68" s="57"/>
      <c r="QIX68" s="57"/>
      <c r="QIY68" s="57"/>
      <c r="QIZ68" s="57"/>
      <c r="QJA68" s="57"/>
      <c r="QJB68" s="57"/>
      <c r="QJC68" s="59" t="s">
        <v>77</v>
      </c>
      <c r="QJD68" s="59" t="s">
        <v>78</v>
      </c>
      <c r="QJE68" s="59" t="s">
        <v>79</v>
      </c>
      <c r="QJF68" s="59" t="s">
        <v>80</v>
      </c>
      <c r="QJG68" s="59" t="s">
        <v>81</v>
      </c>
      <c r="QJH68" s="59" t="s">
        <v>64</v>
      </c>
      <c r="QJI68" s="59" t="s">
        <v>98</v>
      </c>
      <c r="QJJ68" s="59" t="s">
        <v>124</v>
      </c>
      <c r="QJK68" s="59" t="s">
        <v>101</v>
      </c>
      <c r="QJL68" s="56"/>
      <c r="QJM68" s="57"/>
      <c r="QJN68" s="57"/>
      <c r="QJO68" s="57"/>
      <c r="QJP68" s="57"/>
      <c r="QJQ68" s="57"/>
      <c r="QJR68" s="57"/>
      <c r="QJS68" s="59" t="s">
        <v>77</v>
      </c>
      <c r="QJT68" s="59" t="s">
        <v>78</v>
      </c>
      <c r="QJU68" s="59" t="s">
        <v>79</v>
      </c>
      <c r="QJV68" s="59" t="s">
        <v>80</v>
      </c>
      <c r="QJW68" s="59" t="s">
        <v>81</v>
      </c>
      <c r="QJX68" s="59" t="s">
        <v>64</v>
      </c>
      <c r="QJY68" s="59" t="s">
        <v>98</v>
      </c>
      <c r="QJZ68" s="59" t="s">
        <v>124</v>
      </c>
      <c r="QKA68" s="59" t="s">
        <v>101</v>
      </c>
      <c r="QKB68" s="56"/>
      <c r="QKC68" s="57"/>
      <c r="QKD68" s="57"/>
      <c r="QKE68" s="57"/>
      <c r="QKF68" s="57"/>
      <c r="QKG68" s="57"/>
      <c r="QKH68" s="57"/>
      <c r="QKI68" s="59" t="s">
        <v>77</v>
      </c>
      <c r="QKJ68" s="59" t="s">
        <v>78</v>
      </c>
      <c r="QKK68" s="59" t="s">
        <v>79</v>
      </c>
      <c r="QKL68" s="59" t="s">
        <v>80</v>
      </c>
      <c r="QKM68" s="59" t="s">
        <v>81</v>
      </c>
      <c r="QKN68" s="59" t="s">
        <v>64</v>
      </c>
      <c r="QKO68" s="59" t="s">
        <v>98</v>
      </c>
      <c r="QKP68" s="59" t="s">
        <v>124</v>
      </c>
      <c r="QKQ68" s="59" t="s">
        <v>101</v>
      </c>
      <c r="QKR68" s="56"/>
      <c r="QKS68" s="57"/>
      <c r="QKT68" s="57"/>
      <c r="QKU68" s="57"/>
      <c r="QKV68" s="57"/>
      <c r="QKW68" s="57"/>
      <c r="QKX68" s="57"/>
      <c r="QKY68" s="59" t="s">
        <v>77</v>
      </c>
      <c r="QKZ68" s="59" t="s">
        <v>78</v>
      </c>
      <c r="QLA68" s="59" t="s">
        <v>79</v>
      </c>
      <c r="QLB68" s="59" t="s">
        <v>80</v>
      </c>
      <c r="QLC68" s="59" t="s">
        <v>81</v>
      </c>
      <c r="QLD68" s="59" t="s">
        <v>64</v>
      </c>
      <c r="QLE68" s="59" t="s">
        <v>98</v>
      </c>
      <c r="QLF68" s="59" t="s">
        <v>124</v>
      </c>
      <c r="QLG68" s="59" t="s">
        <v>101</v>
      </c>
      <c r="QLH68" s="56"/>
      <c r="QLI68" s="57"/>
      <c r="QLJ68" s="57"/>
      <c r="QLK68" s="57"/>
      <c r="QLL68" s="57"/>
      <c r="QLM68" s="57"/>
      <c r="QLN68" s="57"/>
      <c r="QLO68" s="59" t="s">
        <v>77</v>
      </c>
      <c r="QLP68" s="59" t="s">
        <v>78</v>
      </c>
      <c r="QLQ68" s="59" t="s">
        <v>79</v>
      </c>
      <c r="QLR68" s="59" t="s">
        <v>80</v>
      </c>
      <c r="QLS68" s="59" t="s">
        <v>81</v>
      </c>
      <c r="QLT68" s="59" t="s">
        <v>64</v>
      </c>
      <c r="QLU68" s="59" t="s">
        <v>98</v>
      </c>
      <c r="QLV68" s="59" t="s">
        <v>124</v>
      </c>
      <c r="QLW68" s="59" t="s">
        <v>101</v>
      </c>
      <c r="QLX68" s="56"/>
      <c r="QLY68" s="57"/>
      <c r="QLZ68" s="57"/>
      <c r="QMA68" s="57"/>
      <c r="QMB68" s="57"/>
      <c r="QMC68" s="57"/>
      <c r="QMD68" s="57"/>
      <c r="QME68" s="59" t="s">
        <v>77</v>
      </c>
      <c r="QMF68" s="59" t="s">
        <v>78</v>
      </c>
      <c r="QMG68" s="59" t="s">
        <v>79</v>
      </c>
      <c r="QMH68" s="59" t="s">
        <v>80</v>
      </c>
      <c r="QMI68" s="59" t="s">
        <v>81</v>
      </c>
      <c r="QMJ68" s="59" t="s">
        <v>64</v>
      </c>
      <c r="QMK68" s="59" t="s">
        <v>98</v>
      </c>
      <c r="QML68" s="59" t="s">
        <v>124</v>
      </c>
      <c r="QMM68" s="59" t="s">
        <v>101</v>
      </c>
      <c r="QMN68" s="56"/>
      <c r="QMO68" s="57"/>
      <c r="QMP68" s="57"/>
      <c r="QMQ68" s="57"/>
      <c r="QMR68" s="57"/>
      <c r="QMS68" s="57"/>
      <c r="QMT68" s="57"/>
      <c r="QMU68" s="59" t="s">
        <v>77</v>
      </c>
      <c r="QMV68" s="59" t="s">
        <v>78</v>
      </c>
      <c r="QMW68" s="59" t="s">
        <v>79</v>
      </c>
      <c r="QMX68" s="59" t="s">
        <v>80</v>
      </c>
      <c r="QMY68" s="59" t="s">
        <v>81</v>
      </c>
      <c r="QMZ68" s="59" t="s">
        <v>64</v>
      </c>
      <c r="QNA68" s="59" t="s">
        <v>98</v>
      </c>
      <c r="QNB68" s="59" t="s">
        <v>124</v>
      </c>
      <c r="QNC68" s="59" t="s">
        <v>101</v>
      </c>
      <c r="QND68" s="56"/>
      <c r="QNE68" s="57"/>
      <c r="QNF68" s="57"/>
      <c r="QNG68" s="57"/>
      <c r="QNH68" s="57"/>
      <c r="QNI68" s="57"/>
      <c r="QNJ68" s="57"/>
      <c r="QNK68" s="59" t="s">
        <v>77</v>
      </c>
      <c r="QNL68" s="59" t="s">
        <v>78</v>
      </c>
      <c r="QNM68" s="59" t="s">
        <v>79</v>
      </c>
      <c r="QNN68" s="59" t="s">
        <v>80</v>
      </c>
      <c r="QNO68" s="59" t="s">
        <v>81</v>
      </c>
      <c r="QNP68" s="59" t="s">
        <v>64</v>
      </c>
      <c r="QNQ68" s="59" t="s">
        <v>98</v>
      </c>
      <c r="QNR68" s="59" t="s">
        <v>124</v>
      </c>
      <c r="QNS68" s="59" t="s">
        <v>101</v>
      </c>
      <c r="QNT68" s="56"/>
      <c r="QNU68" s="57"/>
      <c r="QNV68" s="57"/>
      <c r="QNW68" s="57"/>
      <c r="QNX68" s="57"/>
      <c r="QNY68" s="57"/>
      <c r="QNZ68" s="57"/>
      <c r="QOA68" s="59" t="s">
        <v>77</v>
      </c>
      <c r="QOB68" s="59" t="s">
        <v>78</v>
      </c>
      <c r="QOC68" s="59" t="s">
        <v>79</v>
      </c>
      <c r="QOD68" s="59" t="s">
        <v>80</v>
      </c>
      <c r="QOE68" s="59" t="s">
        <v>81</v>
      </c>
      <c r="QOF68" s="59" t="s">
        <v>64</v>
      </c>
      <c r="QOG68" s="59" t="s">
        <v>98</v>
      </c>
      <c r="QOH68" s="59" t="s">
        <v>124</v>
      </c>
      <c r="QOI68" s="59" t="s">
        <v>101</v>
      </c>
      <c r="QOJ68" s="56"/>
      <c r="QOK68" s="57"/>
      <c r="QOL68" s="57"/>
      <c r="QOM68" s="57"/>
      <c r="QON68" s="57"/>
      <c r="QOO68" s="57"/>
      <c r="QOP68" s="57"/>
      <c r="QOQ68" s="59" t="s">
        <v>77</v>
      </c>
      <c r="QOR68" s="59" t="s">
        <v>78</v>
      </c>
      <c r="QOS68" s="59" t="s">
        <v>79</v>
      </c>
      <c r="QOT68" s="59" t="s">
        <v>80</v>
      </c>
      <c r="QOU68" s="59" t="s">
        <v>81</v>
      </c>
      <c r="QOV68" s="59" t="s">
        <v>64</v>
      </c>
      <c r="QOW68" s="59" t="s">
        <v>98</v>
      </c>
      <c r="QOX68" s="59" t="s">
        <v>124</v>
      </c>
      <c r="QOY68" s="59" t="s">
        <v>101</v>
      </c>
      <c r="QOZ68" s="56"/>
      <c r="QPA68" s="57"/>
      <c r="QPB68" s="57"/>
      <c r="QPC68" s="57"/>
      <c r="QPD68" s="57"/>
      <c r="QPE68" s="57"/>
      <c r="QPF68" s="57"/>
      <c r="QPG68" s="59" t="s">
        <v>77</v>
      </c>
      <c r="QPH68" s="59" t="s">
        <v>78</v>
      </c>
      <c r="QPI68" s="59" t="s">
        <v>79</v>
      </c>
      <c r="QPJ68" s="59" t="s">
        <v>80</v>
      </c>
      <c r="QPK68" s="59" t="s">
        <v>81</v>
      </c>
      <c r="QPL68" s="59" t="s">
        <v>64</v>
      </c>
      <c r="QPM68" s="59" t="s">
        <v>98</v>
      </c>
      <c r="QPN68" s="59" t="s">
        <v>124</v>
      </c>
      <c r="QPO68" s="59" t="s">
        <v>101</v>
      </c>
      <c r="QPP68" s="56"/>
      <c r="QPQ68" s="57"/>
      <c r="QPR68" s="57"/>
      <c r="QPS68" s="57"/>
      <c r="QPT68" s="57"/>
      <c r="QPU68" s="57"/>
      <c r="QPV68" s="57"/>
      <c r="QPW68" s="59" t="s">
        <v>77</v>
      </c>
      <c r="QPX68" s="59" t="s">
        <v>78</v>
      </c>
      <c r="QPY68" s="59" t="s">
        <v>79</v>
      </c>
      <c r="QPZ68" s="59" t="s">
        <v>80</v>
      </c>
      <c r="QQA68" s="59" t="s">
        <v>81</v>
      </c>
      <c r="QQB68" s="59" t="s">
        <v>64</v>
      </c>
      <c r="QQC68" s="59" t="s">
        <v>98</v>
      </c>
      <c r="QQD68" s="59" t="s">
        <v>124</v>
      </c>
      <c r="QQE68" s="59" t="s">
        <v>101</v>
      </c>
      <c r="QQF68" s="56"/>
      <c r="QQG68" s="57"/>
      <c r="QQH68" s="57"/>
      <c r="QQI68" s="57"/>
      <c r="QQJ68" s="57"/>
      <c r="QQK68" s="57"/>
      <c r="QQL68" s="57"/>
      <c r="QQM68" s="59" t="s">
        <v>77</v>
      </c>
      <c r="QQN68" s="59" t="s">
        <v>78</v>
      </c>
      <c r="QQO68" s="59" t="s">
        <v>79</v>
      </c>
      <c r="QQP68" s="59" t="s">
        <v>80</v>
      </c>
      <c r="QQQ68" s="59" t="s">
        <v>81</v>
      </c>
      <c r="QQR68" s="59" t="s">
        <v>64</v>
      </c>
      <c r="QQS68" s="59" t="s">
        <v>98</v>
      </c>
      <c r="QQT68" s="59" t="s">
        <v>124</v>
      </c>
      <c r="QQU68" s="59" t="s">
        <v>101</v>
      </c>
      <c r="QQV68" s="56"/>
      <c r="QQW68" s="57"/>
      <c r="QQX68" s="57"/>
      <c r="QQY68" s="57"/>
      <c r="QQZ68" s="57"/>
      <c r="QRA68" s="57"/>
      <c r="QRB68" s="57"/>
      <c r="QRC68" s="59" t="s">
        <v>77</v>
      </c>
      <c r="QRD68" s="59" t="s">
        <v>78</v>
      </c>
      <c r="QRE68" s="59" t="s">
        <v>79</v>
      </c>
      <c r="QRF68" s="59" t="s">
        <v>80</v>
      </c>
      <c r="QRG68" s="59" t="s">
        <v>81</v>
      </c>
      <c r="QRH68" s="59" t="s">
        <v>64</v>
      </c>
      <c r="QRI68" s="59" t="s">
        <v>98</v>
      </c>
      <c r="QRJ68" s="59" t="s">
        <v>124</v>
      </c>
      <c r="QRK68" s="59" t="s">
        <v>101</v>
      </c>
      <c r="QRL68" s="56"/>
      <c r="QRM68" s="57"/>
      <c r="QRN68" s="57"/>
      <c r="QRO68" s="57"/>
      <c r="QRP68" s="57"/>
      <c r="QRQ68" s="57"/>
      <c r="QRR68" s="57"/>
      <c r="QRS68" s="59" t="s">
        <v>77</v>
      </c>
      <c r="QRT68" s="59" t="s">
        <v>78</v>
      </c>
      <c r="QRU68" s="59" t="s">
        <v>79</v>
      </c>
      <c r="QRV68" s="59" t="s">
        <v>80</v>
      </c>
      <c r="QRW68" s="59" t="s">
        <v>81</v>
      </c>
      <c r="QRX68" s="59" t="s">
        <v>64</v>
      </c>
      <c r="QRY68" s="59" t="s">
        <v>98</v>
      </c>
      <c r="QRZ68" s="59" t="s">
        <v>124</v>
      </c>
      <c r="QSA68" s="59" t="s">
        <v>101</v>
      </c>
      <c r="QSB68" s="56"/>
      <c r="QSC68" s="57"/>
      <c r="QSD68" s="57"/>
      <c r="QSE68" s="57"/>
      <c r="QSF68" s="57"/>
      <c r="QSG68" s="57"/>
      <c r="QSH68" s="57"/>
      <c r="QSI68" s="59" t="s">
        <v>77</v>
      </c>
      <c r="QSJ68" s="59" t="s">
        <v>78</v>
      </c>
      <c r="QSK68" s="59" t="s">
        <v>79</v>
      </c>
      <c r="QSL68" s="59" t="s">
        <v>80</v>
      </c>
      <c r="QSM68" s="59" t="s">
        <v>81</v>
      </c>
      <c r="QSN68" s="59" t="s">
        <v>64</v>
      </c>
      <c r="QSO68" s="59" t="s">
        <v>98</v>
      </c>
      <c r="QSP68" s="59" t="s">
        <v>124</v>
      </c>
      <c r="QSQ68" s="59" t="s">
        <v>101</v>
      </c>
      <c r="QSR68" s="56"/>
      <c r="QSS68" s="57"/>
      <c r="QST68" s="57"/>
      <c r="QSU68" s="57"/>
      <c r="QSV68" s="57"/>
      <c r="QSW68" s="57"/>
      <c r="QSX68" s="57"/>
      <c r="QSY68" s="59" t="s">
        <v>77</v>
      </c>
      <c r="QSZ68" s="59" t="s">
        <v>78</v>
      </c>
      <c r="QTA68" s="59" t="s">
        <v>79</v>
      </c>
      <c r="QTB68" s="59" t="s">
        <v>80</v>
      </c>
      <c r="QTC68" s="59" t="s">
        <v>81</v>
      </c>
      <c r="QTD68" s="59" t="s">
        <v>64</v>
      </c>
      <c r="QTE68" s="59" t="s">
        <v>98</v>
      </c>
      <c r="QTF68" s="59" t="s">
        <v>124</v>
      </c>
      <c r="QTG68" s="59" t="s">
        <v>101</v>
      </c>
      <c r="QTH68" s="56"/>
      <c r="QTI68" s="57"/>
      <c r="QTJ68" s="57"/>
      <c r="QTK68" s="57"/>
      <c r="QTL68" s="57"/>
      <c r="QTM68" s="57"/>
      <c r="QTN68" s="57"/>
      <c r="QTO68" s="59" t="s">
        <v>77</v>
      </c>
      <c r="QTP68" s="59" t="s">
        <v>78</v>
      </c>
      <c r="QTQ68" s="59" t="s">
        <v>79</v>
      </c>
      <c r="QTR68" s="59" t="s">
        <v>80</v>
      </c>
      <c r="QTS68" s="59" t="s">
        <v>81</v>
      </c>
      <c r="QTT68" s="59" t="s">
        <v>64</v>
      </c>
      <c r="QTU68" s="59" t="s">
        <v>98</v>
      </c>
      <c r="QTV68" s="59" t="s">
        <v>124</v>
      </c>
      <c r="QTW68" s="59" t="s">
        <v>101</v>
      </c>
      <c r="QTX68" s="56"/>
      <c r="QTY68" s="57"/>
      <c r="QTZ68" s="57"/>
      <c r="QUA68" s="57"/>
      <c r="QUB68" s="57"/>
      <c r="QUC68" s="57"/>
      <c r="QUD68" s="57"/>
      <c r="QUE68" s="59" t="s">
        <v>77</v>
      </c>
      <c r="QUF68" s="59" t="s">
        <v>78</v>
      </c>
      <c r="QUG68" s="59" t="s">
        <v>79</v>
      </c>
      <c r="QUH68" s="59" t="s">
        <v>80</v>
      </c>
      <c r="QUI68" s="59" t="s">
        <v>81</v>
      </c>
      <c r="QUJ68" s="59" t="s">
        <v>64</v>
      </c>
      <c r="QUK68" s="59" t="s">
        <v>98</v>
      </c>
      <c r="QUL68" s="59" t="s">
        <v>124</v>
      </c>
      <c r="QUM68" s="59" t="s">
        <v>101</v>
      </c>
      <c r="QUN68" s="56"/>
      <c r="QUO68" s="57"/>
      <c r="QUP68" s="57"/>
      <c r="QUQ68" s="57"/>
      <c r="QUR68" s="57"/>
      <c r="QUS68" s="57"/>
      <c r="QUT68" s="57"/>
      <c r="QUU68" s="59" t="s">
        <v>77</v>
      </c>
      <c r="QUV68" s="59" t="s">
        <v>78</v>
      </c>
      <c r="QUW68" s="59" t="s">
        <v>79</v>
      </c>
      <c r="QUX68" s="59" t="s">
        <v>80</v>
      </c>
      <c r="QUY68" s="59" t="s">
        <v>81</v>
      </c>
      <c r="QUZ68" s="59" t="s">
        <v>64</v>
      </c>
      <c r="QVA68" s="59" t="s">
        <v>98</v>
      </c>
      <c r="QVB68" s="59" t="s">
        <v>124</v>
      </c>
      <c r="QVC68" s="59" t="s">
        <v>101</v>
      </c>
      <c r="QVD68" s="56"/>
      <c r="QVE68" s="57"/>
      <c r="QVF68" s="57"/>
      <c r="QVG68" s="57"/>
      <c r="QVH68" s="57"/>
      <c r="QVI68" s="57"/>
      <c r="QVJ68" s="57"/>
      <c r="QVK68" s="59" t="s">
        <v>77</v>
      </c>
      <c r="QVL68" s="59" t="s">
        <v>78</v>
      </c>
      <c r="QVM68" s="59" t="s">
        <v>79</v>
      </c>
      <c r="QVN68" s="59" t="s">
        <v>80</v>
      </c>
      <c r="QVO68" s="59" t="s">
        <v>81</v>
      </c>
      <c r="QVP68" s="59" t="s">
        <v>64</v>
      </c>
      <c r="QVQ68" s="59" t="s">
        <v>98</v>
      </c>
      <c r="QVR68" s="59" t="s">
        <v>124</v>
      </c>
      <c r="QVS68" s="59" t="s">
        <v>101</v>
      </c>
      <c r="QVT68" s="56"/>
      <c r="QVU68" s="57"/>
      <c r="QVV68" s="57"/>
      <c r="QVW68" s="57"/>
      <c r="QVX68" s="57"/>
      <c r="QVY68" s="57"/>
      <c r="QVZ68" s="57"/>
      <c r="QWA68" s="59" t="s">
        <v>77</v>
      </c>
      <c r="QWB68" s="59" t="s">
        <v>78</v>
      </c>
      <c r="QWC68" s="59" t="s">
        <v>79</v>
      </c>
      <c r="QWD68" s="59" t="s">
        <v>80</v>
      </c>
      <c r="QWE68" s="59" t="s">
        <v>81</v>
      </c>
      <c r="QWF68" s="59" t="s">
        <v>64</v>
      </c>
      <c r="QWG68" s="59" t="s">
        <v>98</v>
      </c>
      <c r="QWH68" s="59" t="s">
        <v>124</v>
      </c>
      <c r="QWI68" s="59" t="s">
        <v>101</v>
      </c>
      <c r="QWJ68" s="56"/>
      <c r="QWK68" s="57"/>
      <c r="QWL68" s="57"/>
      <c r="QWM68" s="57"/>
      <c r="QWN68" s="57"/>
      <c r="QWO68" s="57"/>
      <c r="QWP68" s="57"/>
      <c r="QWQ68" s="59" t="s">
        <v>77</v>
      </c>
      <c r="QWR68" s="59" t="s">
        <v>78</v>
      </c>
      <c r="QWS68" s="59" t="s">
        <v>79</v>
      </c>
      <c r="QWT68" s="59" t="s">
        <v>80</v>
      </c>
      <c r="QWU68" s="59" t="s">
        <v>81</v>
      </c>
      <c r="QWV68" s="59" t="s">
        <v>64</v>
      </c>
      <c r="QWW68" s="59" t="s">
        <v>98</v>
      </c>
      <c r="QWX68" s="59" t="s">
        <v>124</v>
      </c>
      <c r="QWY68" s="59" t="s">
        <v>101</v>
      </c>
      <c r="QWZ68" s="56"/>
      <c r="QXA68" s="57"/>
      <c r="QXB68" s="57"/>
      <c r="QXC68" s="57"/>
      <c r="QXD68" s="57"/>
      <c r="QXE68" s="57"/>
      <c r="QXF68" s="57"/>
      <c r="QXG68" s="59" t="s">
        <v>77</v>
      </c>
      <c r="QXH68" s="59" t="s">
        <v>78</v>
      </c>
      <c r="QXI68" s="59" t="s">
        <v>79</v>
      </c>
      <c r="QXJ68" s="59" t="s">
        <v>80</v>
      </c>
      <c r="QXK68" s="59" t="s">
        <v>81</v>
      </c>
      <c r="QXL68" s="59" t="s">
        <v>64</v>
      </c>
      <c r="QXM68" s="59" t="s">
        <v>98</v>
      </c>
      <c r="QXN68" s="59" t="s">
        <v>124</v>
      </c>
      <c r="QXO68" s="59" t="s">
        <v>101</v>
      </c>
      <c r="QXP68" s="56"/>
      <c r="QXQ68" s="57"/>
      <c r="QXR68" s="57"/>
      <c r="QXS68" s="57"/>
      <c r="QXT68" s="57"/>
      <c r="QXU68" s="57"/>
      <c r="QXV68" s="57"/>
      <c r="QXW68" s="59" t="s">
        <v>77</v>
      </c>
      <c r="QXX68" s="59" t="s">
        <v>78</v>
      </c>
      <c r="QXY68" s="59" t="s">
        <v>79</v>
      </c>
      <c r="QXZ68" s="59" t="s">
        <v>80</v>
      </c>
      <c r="QYA68" s="59" t="s">
        <v>81</v>
      </c>
      <c r="QYB68" s="59" t="s">
        <v>64</v>
      </c>
      <c r="QYC68" s="59" t="s">
        <v>98</v>
      </c>
      <c r="QYD68" s="59" t="s">
        <v>124</v>
      </c>
      <c r="QYE68" s="59" t="s">
        <v>101</v>
      </c>
      <c r="QYF68" s="56"/>
      <c r="QYG68" s="57"/>
      <c r="QYH68" s="57"/>
      <c r="QYI68" s="57"/>
      <c r="QYJ68" s="57"/>
      <c r="QYK68" s="57"/>
      <c r="QYL68" s="57"/>
      <c r="QYM68" s="59" t="s">
        <v>77</v>
      </c>
      <c r="QYN68" s="59" t="s">
        <v>78</v>
      </c>
      <c r="QYO68" s="59" t="s">
        <v>79</v>
      </c>
      <c r="QYP68" s="59" t="s">
        <v>80</v>
      </c>
      <c r="QYQ68" s="59" t="s">
        <v>81</v>
      </c>
      <c r="QYR68" s="59" t="s">
        <v>64</v>
      </c>
      <c r="QYS68" s="59" t="s">
        <v>98</v>
      </c>
      <c r="QYT68" s="59" t="s">
        <v>124</v>
      </c>
      <c r="QYU68" s="59" t="s">
        <v>101</v>
      </c>
      <c r="QYV68" s="56"/>
      <c r="QYW68" s="57"/>
      <c r="QYX68" s="57"/>
      <c r="QYY68" s="57"/>
      <c r="QYZ68" s="57"/>
      <c r="QZA68" s="57"/>
      <c r="QZB68" s="57"/>
      <c r="QZC68" s="59" t="s">
        <v>77</v>
      </c>
      <c r="QZD68" s="59" t="s">
        <v>78</v>
      </c>
      <c r="QZE68" s="59" t="s">
        <v>79</v>
      </c>
      <c r="QZF68" s="59" t="s">
        <v>80</v>
      </c>
      <c r="QZG68" s="59" t="s">
        <v>81</v>
      </c>
      <c r="QZH68" s="59" t="s">
        <v>64</v>
      </c>
      <c r="QZI68" s="59" t="s">
        <v>98</v>
      </c>
      <c r="QZJ68" s="59" t="s">
        <v>124</v>
      </c>
      <c r="QZK68" s="59" t="s">
        <v>101</v>
      </c>
      <c r="QZL68" s="56"/>
      <c r="QZM68" s="57"/>
      <c r="QZN68" s="57"/>
      <c r="QZO68" s="57"/>
      <c r="QZP68" s="57"/>
      <c r="QZQ68" s="57"/>
      <c r="QZR68" s="57"/>
      <c r="QZS68" s="59" t="s">
        <v>77</v>
      </c>
      <c r="QZT68" s="59" t="s">
        <v>78</v>
      </c>
      <c r="QZU68" s="59" t="s">
        <v>79</v>
      </c>
      <c r="QZV68" s="59" t="s">
        <v>80</v>
      </c>
      <c r="QZW68" s="59" t="s">
        <v>81</v>
      </c>
      <c r="QZX68" s="59" t="s">
        <v>64</v>
      </c>
      <c r="QZY68" s="59" t="s">
        <v>98</v>
      </c>
      <c r="QZZ68" s="59" t="s">
        <v>124</v>
      </c>
      <c r="RAA68" s="59" t="s">
        <v>101</v>
      </c>
      <c r="RAB68" s="56"/>
      <c r="RAC68" s="57"/>
      <c r="RAD68" s="57"/>
      <c r="RAE68" s="57"/>
      <c r="RAF68" s="57"/>
      <c r="RAG68" s="57"/>
      <c r="RAH68" s="57"/>
      <c r="RAI68" s="59" t="s">
        <v>77</v>
      </c>
      <c r="RAJ68" s="59" t="s">
        <v>78</v>
      </c>
      <c r="RAK68" s="59" t="s">
        <v>79</v>
      </c>
      <c r="RAL68" s="59" t="s">
        <v>80</v>
      </c>
      <c r="RAM68" s="59" t="s">
        <v>81</v>
      </c>
      <c r="RAN68" s="59" t="s">
        <v>64</v>
      </c>
      <c r="RAO68" s="59" t="s">
        <v>98</v>
      </c>
      <c r="RAP68" s="59" t="s">
        <v>124</v>
      </c>
      <c r="RAQ68" s="59" t="s">
        <v>101</v>
      </c>
      <c r="RAR68" s="56"/>
      <c r="RAS68" s="57"/>
      <c r="RAT68" s="57"/>
      <c r="RAU68" s="57"/>
      <c r="RAV68" s="57"/>
      <c r="RAW68" s="57"/>
      <c r="RAX68" s="57"/>
      <c r="RAY68" s="59" t="s">
        <v>77</v>
      </c>
      <c r="RAZ68" s="59" t="s">
        <v>78</v>
      </c>
      <c r="RBA68" s="59" t="s">
        <v>79</v>
      </c>
      <c r="RBB68" s="59" t="s">
        <v>80</v>
      </c>
      <c r="RBC68" s="59" t="s">
        <v>81</v>
      </c>
      <c r="RBD68" s="59" t="s">
        <v>64</v>
      </c>
      <c r="RBE68" s="59" t="s">
        <v>98</v>
      </c>
      <c r="RBF68" s="59" t="s">
        <v>124</v>
      </c>
      <c r="RBG68" s="59" t="s">
        <v>101</v>
      </c>
      <c r="RBH68" s="56"/>
      <c r="RBI68" s="57"/>
      <c r="RBJ68" s="57"/>
      <c r="RBK68" s="57"/>
      <c r="RBL68" s="57"/>
      <c r="RBM68" s="57"/>
      <c r="RBN68" s="57"/>
      <c r="RBO68" s="59" t="s">
        <v>77</v>
      </c>
      <c r="RBP68" s="59" t="s">
        <v>78</v>
      </c>
      <c r="RBQ68" s="59" t="s">
        <v>79</v>
      </c>
      <c r="RBR68" s="59" t="s">
        <v>80</v>
      </c>
      <c r="RBS68" s="59" t="s">
        <v>81</v>
      </c>
      <c r="RBT68" s="59" t="s">
        <v>64</v>
      </c>
      <c r="RBU68" s="59" t="s">
        <v>98</v>
      </c>
      <c r="RBV68" s="59" t="s">
        <v>124</v>
      </c>
      <c r="RBW68" s="59" t="s">
        <v>101</v>
      </c>
      <c r="RBX68" s="56"/>
      <c r="RBY68" s="57"/>
      <c r="RBZ68" s="57"/>
      <c r="RCA68" s="57"/>
      <c r="RCB68" s="57"/>
      <c r="RCC68" s="57"/>
      <c r="RCD68" s="57"/>
      <c r="RCE68" s="59" t="s">
        <v>77</v>
      </c>
      <c r="RCF68" s="59" t="s">
        <v>78</v>
      </c>
      <c r="RCG68" s="59" t="s">
        <v>79</v>
      </c>
      <c r="RCH68" s="59" t="s">
        <v>80</v>
      </c>
      <c r="RCI68" s="59" t="s">
        <v>81</v>
      </c>
      <c r="RCJ68" s="59" t="s">
        <v>64</v>
      </c>
      <c r="RCK68" s="59" t="s">
        <v>98</v>
      </c>
      <c r="RCL68" s="59" t="s">
        <v>124</v>
      </c>
      <c r="RCM68" s="59" t="s">
        <v>101</v>
      </c>
      <c r="RCN68" s="56"/>
      <c r="RCO68" s="57"/>
      <c r="RCP68" s="57"/>
      <c r="RCQ68" s="57"/>
      <c r="RCR68" s="57"/>
      <c r="RCS68" s="57"/>
      <c r="RCT68" s="57"/>
      <c r="RCU68" s="59" t="s">
        <v>77</v>
      </c>
      <c r="RCV68" s="59" t="s">
        <v>78</v>
      </c>
      <c r="RCW68" s="59" t="s">
        <v>79</v>
      </c>
      <c r="RCX68" s="59" t="s">
        <v>80</v>
      </c>
      <c r="RCY68" s="59" t="s">
        <v>81</v>
      </c>
      <c r="RCZ68" s="59" t="s">
        <v>64</v>
      </c>
      <c r="RDA68" s="59" t="s">
        <v>98</v>
      </c>
      <c r="RDB68" s="59" t="s">
        <v>124</v>
      </c>
      <c r="RDC68" s="59" t="s">
        <v>101</v>
      </c>
      <c r="RDD68" s="56"/>
      <c r="RDE68" s="57"/>
      <c r="RDF68" s="57"/>
      <c r="RDG68" s="57"/>
      <c r="RDH68" s="57"/>
      <c r="RDI68" s="57"/>
      <c r="RDJ68" s="57"/>
      <c r="RDK68" s="59" t="s">
        <v>77</v>
      </c>
      <c r="RDL68" s="59" t="s">
        <v>78</v>
      </c>
      <c r="RDM68" s="59" t="s">
        <v>79</v>
      </c>
      <c r="RDN68" s="59" t="s">
        <v>80</v>
      </c>
      <c r="RDO68" s="59" t="s">
        <v>81</v>
      </c>
      <c r="RDP68" s="59" t="s">
        <v>64</v>
      </c>
      <c r="RDQ68" s="59" t="s">
        <v>98</v>
      </c>
      <c r="RDR68" s="59" t="s">
        <v>124</v>
      </c>
      <c r="RDS68" s="59" t="s">
        <v>101</v>
      </c>
      <c r="RDT68" s="56"/>
      <c r="RDU68" s="57"/>
      <c r="RDV68" s="57"/>
      <c r="RDW68" s="57"/>
      <c r="RDX68" s="57"/>
      <c r="RDY68" s="57"/>
      <c r="RDZ68" s="57"/>
      <c r="REA68" s="59" t="s">
        <v>77</v>
      </c>
      <c r="REB68" s="59" t="s">
        <v>78</v>
      </c>
      <c r="REC68" s="59" t="s">
        <v>79</v>
      </c>
      <c r="RED68" s="59" t="s">
        <v>80</v>
      </c>
      <c r="REE68" s="59" t="s">
        <v>81</v>
      </c>
      <c r="REF68" s="59" t="s">
        <v>64</v>
      </c>
      <c r="REG68" s="59" t="s">
        <v>98</v>
      </c>
      <c r="REH68" s="59" t="s">
        <v>124</v>
      </c>
      <c r="REI68" s="59" t="s">
        <v>101</v>
      </c>
      <c r="REJ68" s="56"/>
      <c r="REK68" s="57"/>
      <c r="REL68" s="57"/>
      <c r="REM68" s="57"/>
      <c r="REN68" s="57"/>
      <c r="REO68" s="57"/>
      <c r="REP68" s="57"/>
      <c r="REQ68" s="59" t="s">
        <v>77</v>
      </c>
      <c r="RER68" s="59" t="s">
        <v>78</v>
      </c>
      <c r="RES68" s="59" t="s">
        <v>79</v>
      </c>
      <c r="RET68" s="59" t="s">
        <v>80</v>
      </c>
      <c r="REU68" s="59" t="s">
        <v>81</v>
      </c>
      <c r="REV68" s="59" t="s">
        <v>64</v>
      </c>
      <c r="REW68" s="59" t="s">
        <v>98</v>
      </c>
      <c r="REX68" s="59" t="s">
        <v>124</v>
      </c>
      <c r="REY68" s="59" t="s">
        <v>101</v>
      </c>
      <c r="REZ68" s="56"/>
      <c r="RFA68" s="57"/>
      <c r="RFB68" s="57"/>
      <c r="RFC68" s="57"/>
      <c r="RFD68" s="57"/>
      <c r="RFE68" s="57"/>
      <c r="RFF68" s="57"/>
      <c r="RFG68" s="59" t="s">
        <v>77</v>
      </c>
      <c r="RFH68" s="59" t="s">
        <v>78</v>
      </c>
      <c r="RFI68" s="59" t="s">
        <v>79</v>
      </c>
      <c r="RFJ68" s="59" t="s">
        <v>80</v>
      </c>
      <c r="RFK68" s="59" t="s">
        <v>81</v>
      </c>
      <c r="RFL68" s="59" t="s">
        <v>64</v>
      </c>
      <c r="RFM68" s="59" t="s">
        <v>98</v>
      </c>
      <c r="RFN68" s="59" t="s">
        <v>124</v>
      </c>
      <c r="RFO68" s="59" t="s">
        <v>101</v>
      </c>
      <c r="RFP68" s="56"/>
      <c r="RFQ68" s="57"/>
      <c r="RFR68" s="57"/>
      <c r="RFS68" s="57"/>
      <c r="RFT68" s="57"/>
      <c r="RFU68" s="57"/>
      <c r="RFV68" s="57"/>
      <c r="RFW68" s="59" t="s">
        <v>77</v>
      </c>
      <c r="RFX68" s="59" t="s">
        <v>78</v>
      </c>
      <c r="RFY68" s="59" t="s">
        <v>79</v>
      </c>
      <c r="RFZ68" s="59" t="s">
        <v>80</v>
      </c>
      <c r="RGA68" s="59" t="s">
        <v>81</v>
      </c>
      <c r="RGB68" s="59" t="s">
        <v>64</v>
      </c>
      <c r="RGC68" s="59" t="s">
        <v>98</v>
      </c>
      <c r="RGD68" s="59" t="s">
        <v>124</v>
      </c>
      <c r="RGE68" s="59" t="s">
        <v>101</v>
      </c>
      <c r="RGF68" s="56"/>
      <c r="RGG68" s="57"/>
      <c r="RGH68" s="57"/>
      <c r="RGI68" s="57"/>
      <c r="RGJ68" s="57"/>
      <c r="RGK68" s="57"/>
      <c r="RGL68" s="57"/>
      <c r="RGM68" s="59" t="s">
        <v>77</v>
      </c>
      <c r="RGN68" s="59" t="s">
        <v>78</v>
      </c>
      <c r="RGO68" s="59" t="s">
        <v>79</v>
      </c>
      <c r="RGP68" s="59" t="s">
        <v>80</v>
      </c>
      <c r="RGQ68" s="59" t="s">
        <v>81</v>
      </c>
      <c r="RGR68" s="59" t="s">
        <v>64</v>
      </c>
      <c r="RGS68" s="59" t="s">
        <v>98</v>
      </c>
      <c r="RGT68" s="59" t="s">
        <v>124</v>
      </c>
      <c r="RGU68" s="59" t="s">
        <v>101</v>
      </c>
      <c r="RGV68" s="56"/>
      <c r="RGW68" s="57"/>
      <c r="RGX68" s="57"/>
      <c r="RGY68" s="57"/>
      <c r="RGZ68" s="57"/>
      <c r="RHA68" s="57"/>
      <c r="RHB68" s="57"/>
      <c r="RHC68" s="59" t="s">
        <v>77</v>
      </c>
      <c r="RHD68" s="59" t="s">
        <v>78</v>
      </c>
      <c r="RHE68" s="59" t="s">
        <v>79</v>
      </c>
      <c r="RHF68" s="59" t="s">
        <v>80</v>
      </c>
      <c r="RHG68" s="59" t="s">
        <v>81</v>
      </c>
      <c r="RHH68" s="59" t="s">
        <v>64</v>
      </c>
      <c r="RHI68" s="59" t="s">
        <v>98</v>
      </c>
      <c r="RHJ68" s="59" t="s">
        <v>124</v>
      </c>
      <c r="RHK68" s="59" t="s">
        <v>101</v>
      </c>
      <c r="RHL68" s="56"/>
      <c r="RHM68" s="57"/>
      <c r="RHN68" s="57"/>
      <c r="RHO68" s="57"/>
      <c r="RHP68" s="57"/>
      <c r="RHQ68" s="57"/>
      <c r="RHR68" s="57"/>
      <c r="RHS68" s="59" t="s">
        <v>77</v>
      </c>
      <c r="RHT68" s="59" t="s">
        <v>78</v>
      </c>
      <c r="RHU68" s="59" t="s">
        <v>79</v>
      </c>
      <c r="RHV68" s="59" t="s">
        <v>80</v>
      </c>
      <c r="RHW68" s="59" t="s">
        <v>81</v>
      </c>
      <c r="RHX68" s="59" t="s">
        <v>64</v>
      </c>
      <c r="RHY68" s="59" t="s">
        <v>98</v>
      </c>
      <c r="RHZ68" s="59" t="s">
        <v>124</v>
      </c>
      <c r="RIA68" s="59" t="s">
        <v>101</v>
      </c>
      <c r="RIB68" s="56"/>
      <c r="RIC68" s="57"/>
      <c r="RID68" s="57"/>
      <c r="RIE68" s="57"/>
      <c r="RIF68" s="57"/>
      <c r="RIG68" s="57"/>
      <c r="RIH68" s="57"/>
      <c r="RII68" s="59" t="s">
        <v>77</v>
      </c>
      <c r="RIJ68" s="59" t="s">
        <v>78</v>
      </c>
      <c r="RIK68" s="59" t="s">
        <v>79</v>
      </c>
      <c r="RIL68" s="59" t="s">
        <v>80</v>
      </c>
      <c r="RIM68" s="59" t="s">
        <v>81</v>
      </c>
      <c r="RIN68" s="59" t="s">
        <v>64</v>
      </c>
      <c r="RIO68" s="59" t="s">
        <v>98</v>
      </c>
      <c r="RIP68" s="59" t="s">
        <v>124</v>
      </c>
      <c r="RIQ68" s="59" t="s">
        <v>101</v>
      </c>
      <c r="RIR68" s="56"/>
      <c r="RIS68" s="57"/>
      <c r="RIT68" s="57"/>
      <c r="RIU68" s="57"/>
      <c r="RIV68" s="57"/>
      <c r="RIW68" s="57"/>
      <c r="RIX68" s="57"/>
      <c r="RIY68" s="59" t="s">
        <v>77</v>
      </c>
      <c r="RIZ68" s="59" t="s">
        <v>78</v>
      </c>
      <c r="RJA68" s="59" t="s">
        <v>79</v>
      </c>
      <c r="RJB68" s="59" t="s">
        <v>80</v>
      </c>
      <c r="RJC68" s="59" t="s">
        <v>81</v>
      </c>
      <c r="RJD68" s="59" t="s">
        <v>64</v>
      </c>
      <c r="RJE68" s="59" t="s">
        <v>98</v>
      </c>
      <c r="RJF68" s="59" t="s">
        <v>124</v>
      </c>
      <c r="RJG68" s="59" t="s">
        <v>101</v>
      </c>
      <c r="RJH68" s="56"/>
      <c r="RJI68" s="57"/>
      <c r="RJJ68" s="57"/>
      <c r="RJK68" s="57"/>
      <c r="RJL68" s="57"/>
      <c r="RJM68" s="57"/>
      <c r="RJN68" s="57"/>
      <c r="RJO68" s="59" t="s">
        <v>77</v>
      </c>
      <c r="RJP68" s="59" t="s">
        <v>78</v>
      </c>
      <c r="RJQ68" s="59" t="s">
        <v>79</v>
      </c>
      <c r="RJR68" s="59" t="s">
        <v>80</v>
      </c>
      <c r="RJS68" s="59" t="s">
        <v>81</v>
      </c>
      <c r="RJT68" s="59" t="s">
        <v>64</v>
      </c>
      <c r="RJU68" s="59" t="s">
        <v>98</v>
      </c>
      <c r="RJV68" s="59" t="s">
        <v>124</v>
      </c>
      <c r="RJW68" s="59" t="s">
        <v>101</v>
      </c>
      <c r="RJX68" s="56"/>
      <c r="RJY68" s="57"/>
      <c r="RJZ68" s="57"/>
      <c r="RKA68" s="57"/>
      <c r="RKB68" s="57"/>
      <c r="RKC68" s="57"/>
      <c r="RKD68" s="57"/>
      <c r="RKE68" s="59" t="s">
        <v>77</v>
      </c>
      <c r="RKF68" s="59" t="s">
        <v>78</v>
      </c>
      <c r="RKG68" s="59" t="s">
        <v>79</v>
      </c>
      <c r="RKH68" s="59" t="s">
        <v>80</v>
      </c>
      <c r="RKI68" s="59" t="s">
        <v>81</v>
      </c>
      <c r="RKJ68" s="59" t="s">
        <v>64</v>
      </c>
      <c r="RKK68" s="59" t="s">
        <v>98</v>
      </c>
      <c r="RKL68" s="59" t="s">
        <v>124</v>
      </c>
      <c r="RKM68" s="59" t="s">
        <v>101</v>
      </c>
      <c r="RKN68" s="56"/>
      <c r="RKO68" s="57"/>
      <c r="RKP68" s="57"/>
      <c r="RKQ68" s="57"/>
      <c r="RKR68" s="57"/>
      <c r="RKS68" s="57"/>
      <c r="RKT68" s="57"/>
      <c r="RKU68" s="59" t="s">
        <v>77</v>
      </c>
      <c r="RKV68" s="59" t="s">
        <v>78</v>
      </c>
      <c r="RKW68" s="59" t="s">
        <v>79</v>
      </c>
      <c r="RKX68" s="59" t="s">
        <v>80</v>
      </c>
      <c r="RKY68" s="59" t="s">
        <v>81</v>
      </c>
      <c r="RKZ68" s="59" t="s">
        <v>64</v>
      </c>
      <c r="RLA68" s="59" t="s">
        <v>98</v>
      </c>
      <c r="RLB68" s="59" t="s">
        <v>124</v>
      </c>
      <c r="RLC68" s="59" t="s">
        <v>101</v>
      </c>
      <c r="RLD68" s="56"/>
      <c r="RLE68" s="57"/>
      <c r="RLF68" s="57"/>
      <c r="RLG68" s="57"/>
      <c r="RLH68" s="57"/>
      <c r="RLI68" s="57"/>
      <c r="RLJ68" s="57"/>
      <c r="RLK68" s="59" t="s">
        <v>77</v>
      </c>
      <c r="RLL68" s="59" t="s">
        <v>78</v>
      </c>
      <c r="RLM68" s="59" t="s">
        <v>79</v>
      </c>
      <c r="RLN68" s="59" t="s">
        <v>80</v>
      </c>
      <c r="RLO68" s="59" t="s">
        <v>81</v>
      </c>
      <c r="RLP68" s="59" t="s">
        <v>64</v>
      </c>
      <c r="RLQ68" s="59" t="s">
        <v>98</v>
      </c>
      <c r="RLR68" s="59" t="s">
        <v>124</v>
      </c>
      <c r="RLS68" s="59" t="s">
        <v>101</v>
      </c>
      <c r="RLT68" s="56"/>
      <c r="RLU68" s="57"/>
      <c r="RLV68" s="57"/>
      <c r="RLW68" s="57"/>
      <c r="RLX68" s="57"/>
      <c r="RLY68" s="57"/>
      <c r="RLZ68" s="57"/>
      <c r="RMA68" s="59" t="s">
        <v>77</v>
      </c>
      <c r="RMB68" s="59" t="s">
        <v>78</v>
      </c>
      <c r="RMC68" s="59" t="s">
        <v>79</v>
      </c>
      <c r="RMD68" s="59" t="s">
        <v>80</v>
      </c>
      <c r="RME68" s="59" t="s">
        <v>81</v>
      </c>
      <c r="RMF68" s="59" t="s">
        <v>64</v>
      </c>
      <c r="RMG68" s="59" t="s">
        <v>98</v>
      </c>
      <c r="RMH68" s="59" t="s">
        <v>124</v>
      </c>
      <c r="RMI68" s="59" t="s">
        <v>101</v>
      </c>
      <c r="RMJ68" s="56"/>
      <c r="RMK68" s="57"/>
      <c r="RML68" s="57"/>
      <c r="RMM68" s="57"/>
      <c r="RMN68" s="57"/>
      <c r="RMO68" s="57"/>
      <c r="RMP68" s="57"/>
      <c r="RMQ68" s="59" t="s">
        <v>77</v>
      </c>
      <c r="RMR68" s="59" t="s">
        <v>78</v>
      </c>
      <c r="RMS68" s="59" t="s">
        <v>79</v>
      </c>
      <c r="RMT68" s="59" t="s">
        <v>80</v>
      </c>
      <c r="RMU68" s="59" t="s">
        <v>81</v>
      </c>
      <c r="RMV68" s="59" t="s">
        <v>64</v>
      </c>
      <c r="RMW68" s="59" t="s">
        <v>98</v>
      </c>
      <c r="RMX68" s="59" t="s">
        <v>124</v>
      </c>
      <c r="RMY68" s="59" t="s">
        <v>101</v>
      </c>
      <c r="RMZ68" s="56"/>
      <c r="RNA68" s="57"/>
      <c r="RNB68" s="57"/>
      <c r="RNC68" s="57"/>
      <c r="RND68" s="57"/>
      <c r="RNE68" s="57"/>
      <c r="RNF68" s="57"/>
      <c r="RNG68" s="59" t="s">
        <v>77</v>
      </c>
      <c r="RNH68" s="59" t="s">
        <v>78</v>
      </c>
      <c r="RNI68" s="59" t="s">
        <v>79</v>
      </c>
      <c r="RNJ68" s="59" t="s">
        <v>80</v>
      </c>
      <c r="RNK68" s="59" t="s">
        <v>81</v>
      </c>
      <c r="RNL68" s="59" t="s">
        <v>64</v>
      </c>
      <c r="RNM68" s="59" t="s">
        <v>98</v>
      </c>
      <c r="RNN68" s="59" t="s">
        <v>124</v>
      </c>
      <c r="RNO68" s="59" t="s">
        <v>101</v>
      </c>
      <c r="RNP68" s="56"/>
      <c r="RNQ68" s="57"/>
      <c r="RNR68" s="57"/>
      <c r="RNS68" s="57"/>
      <c r="RNT68" s="57"/>
      <c r="RNU68" s="57"/>
      <c r="RNV68" s="57"/>
      <c r="RNW68" s="59" t="s">
        <v>77</v>
      </c>
      <c r="RNX68" s="59" t="s">
        <v>78</v>
      </c>
      <c r="RNY68" s="59" t="s">
        <v>79</v>
      </c>
      <c r="RNZ68" s="59" t="s">
        <v>80</v>
      </c>
      <c r="ROA68" s="59" t="s">
        <v>81</v>
      </c>
      <c r="ROB68" s="59" t="s">
        <v>64</v>
      </c>
      <c r="ROC68" s="59" t="s">
        <v>98</v>
      </c>
      <c r="ROD68" s="59" t="s">
        <v>124</v>
      </c>
      <c r="ROE68" s="59" t="s">
        <v>101</v>
      </c>
      <c r="ROF68" s="56"/>
      <c r="ROG68" s="57"/>
      <c r="ROH68" s="57"/>
      <c r="ROI68" s="57"/>
      <c r="ROJ68" s="57"/>
      <c r="ROK68" s="57"/>
      <c r="ROL68" s="57"/>
      <c r="ROM68" s="59" t="s">
        <v>77</v>
      </c>
      <c r="RON68" s="59" t="s">
        <v>78</v>
      </c>
      <c r="ROO68" s="59" t="s">
        <v>79</v>
      </c>
      <c r="ROP68" s="59" t="s">
        <v>80</v>
      </c>
      <c r="ROQ68" s="59" t="s">
        <v>81</v>
      </c>
      <c r="ROR68" s="59" t="s">
        <v>64</v>
      </c>
      <c r="ROS68" s="59" t="s">
        <v>98</v>
      </c>
      <c r="ROT68" s="59" t="s">
        <v>124</v>
      </c>
      <c r="ROU68" s="59" t="s">
        <v>101</v>
      </c>
      <c r="ROV68" s="56"/>
      <c r="ROW68" s="57"/>
      <c r="ROX68" s="57"/>
      <c r="ROY68" s="57"/>
      <c r="ROZ68" s="57"/>
      <c r="RPA68" s="57"/>
      <c r="RPB68" s="57"/>
      <c r="RPC68" s="59" t="s">
        <v>77</v>
      </c>
      <c r="RPD68" s="59" t="s">
        <v>78</v>
      </c>
      <c r="RPE68" s="59" t="s">
        <v>79</v>
      </c>
      <c r="RPF68" s="59" t="s">
        <v>80</v>
      </c>
      <c r="RPG68" s="59" t="s">
        <v>81</v>
      </c>
      <c r="RPH68" s="59" t="s">
        <v>64</v>
      </c>
      <c r="RPI68" s="59" t="s">
        <v>98</v>
      </c>
      <c r="RPJ68" s="59" t="s">
        <v>124</v>
      </c>
      <c r="RPK68" s="59" t="s">
        <v>101</v>
      </c>
      <c r="RPL68" s="56"/>
      <c r="RPM68" s="57"/>
      <c r="RPN68" s="57"/>
      <c r="RPO68" s="57"/>
      <c r="RPP68" s="57"/>
      <c r="RPQ68" s="57"/>
      <c r="RPR68" s="57"/>
      <c r="RPS68" s="59" t="s">
        <v>77</v>
      </c>
      <c r="RPT68" s="59" t="s">
        <v>78</v>
      </c>
      <c r="RPU68" s="59" t="s">
        <v>79</v>
      </c>
      <c r="RPV68" s="59" t="s">
        <v>80</v>
      </c>
      <c r="RPW68" s="59" t="s">
        <v>81</v>
      </c>
      <c r="RPX68" s="59" t="s">
        <v>64</v>
      </c>
      <c r="RPY68" s="59" t="s">
        <v>98</v>
      </c>
      <c r="RPZ68" s="59" t="s">
        <v>124</v>
      </c>
      <c r="RQA68" s="59" t="s">
        <v>101</v>
      </c>
      <c r="RQB68" s="56"/>
      <c r="RQC68" s="57"/>
      <c r="RQD68" s="57"/>
      <c r="RQE68" s="57"/>
      <c r="RQF68" s="57"/>
      <c r="RQG68" s="57"/>
      <c r="RQH68" s="57"/>
      <c r="RQI68" s="59" t="s">
        <v>77</v>
      </c>
      <c r="RQJ68" s="59" t="s">
        <v>78</v>
      </c>
      <c r="RQK68" s="59" t="s">
        <v>79</v>
      </c>
      <c r="RQL68" s="59" t="s">
        <v>80</v>
      </c>
      <c r="RQM68" s="59" t="s">
        <v>81</v>
      </c>
      <c r="RQN68" s="59" t="s">
        <v>64</v>
      </c>
      <c r="RQO68" s="59" t="s">
        <v>98</v>
      </c>
      <c r="RQP68" s="59" t="s">
        <v>124</v>
      </c>
      <c r="RQQ68" s="59" t="s">
        <v>101</v>
      </c>
      <c r="RQR68" s="56"/>
      <c r="RQS68" s="57"/>
      <c r="RQT68" s="57"/>
      <c r="RQU68" s="57"/>
      <c r="RQV68" s="57"/>
      <c r="RQW68" s="57"/>
      <c r="RQX68" s="57"/>
      <c r="RQY68" s="59" t="s">
        <v>77</v>
      </c>
      <c r="RQZ68" s="59" t="s">
        <v>78</v>
      </c>
      <c r="RRA68" s="59" t="s">
        <v>79</v>
      </c>
      <c r="RRB68" s="59" t="s">
        <v>80</v>
      </c>
      <c r="RRC68" s="59" t="s">
        <v>81</v>
      </c>
      <c r="RRD68" s="59" t="s">
        <v>64</v>
      </c>
      <c r="RRE68" s="59" t="s">
        <v>98</v>
      </c>
      <c r="RRF68" s="59" t="s">
        <v>124</v>
      </c>
      <c r="RRG68" s="59" t="s">
        <v>101</v>
      </c>
      <c r="RRH68" s="56"/>
      <c r="RRI68" s="57"/>
      <c r="RRJ68" s="57"/>
      <c r="RRK68" s="57"/>
      <c r="RRL68" s="57"/>
      <c r="RRM68" s="57"/>
      <c r="RRN68" s="57"/>
      <c r="RRO68" s="59" t="s">
        <v>77</v>
      </c>
      <c r="RRP68" s="59" t="s">
        <v>78</v>
      </c>
      <c r="RRQ68" s="59" t="s">
        <v>79</v>
      </c>
      <c r="RRR68" s="59" t="s">
        <v>80</v>
      </c>
      <c r="RRS68" s="59" t="s">
        <v>81</v>
      </c>
      <c r="RRT68" s="59" t="s">
        <v>64</v>
      </c>
      <c r="RRU68" s="59" t="s">
        <v>98</v>
      </c>
      <c r="RRV68" s="59" t="s">
        <v>124</v>
      </c>
      <c r="RRW68" s="59" t="s">
        <v>101</v>
      </c>
      <c r="RRX68" s="56"/>
      <c r="RRY68" s="57"/>
      <c r="RRZ68" s="57"/>
      <c r="RSA68" s="57"/>
      <c r="RSB68" s="57"/>
      <c r="RSC68" s="57"/>
      <c r="RSD68" s="57"/>
      <c r="RSE68" s="59" t="s">
        <v>77</v>
      </c>
      <c r="RSF68" s="59" t="s">
        <v>78</v>
      </c>
      <c r="RSG68" s="59" t="s">
        <v>79</v>
      </c>
      <c r="RSH68" s="59" t="s">
        <v>80</v>
      </c>
      <c r="RSI68" s="59" t="s">
        <v>81</v>
      </c>
      <c r="RSJ68" s="59" t="s">
        <v>64</v>
      </c>
      <c r="RSK68" s="59" t="s">
        <v>98</v>
      </c>
      <c r="RSL68" s="59" t="s">
        <v>124</v>
      </c>
      <c r="RSM68" s="59" t="s">
        <v>101</v>
      </c>
      <c r="RSN68" s="56"/>
      <c r="RSO68" s="57"/>
      <c r="RSP68" s="57"/>
      <c r="RSQ68" s="57"/>
      <c r="RSR68" s="57"/>
      <c r="RSS68" s="57"/>
      <c r="RST68" s="57"/>
      <c r="RSU68" s="59" t="s">
        <v>77</v>
      </c>
      <c r="RSV68" s="59" t="s">
        <v>78</v>
      </c>
      <c r="RSW68" s="59" t="s">
        <v>79</v>
      </c>
      <c r="RSX68" s="59" t="s">
        <v>80</v>
      </c>
      <c r="RSY68" s="59" t="s">
        <v>81</v>
      </c>
      <c r="RSZ68" s="59" t="s">
        <v>64</v>
      </c>
      <c r="RTA68" s="59" t="s">
        <v>98</v>
      </c>
      <c r="RTB68" s="59" t="s">
        <v>124</v>
      </c>
      <c r="RTC68" s="59" t="s">
        <v>101</v>
      </c>
      <c r="RTD68" s="56"/>
      <c r="RTE68" s="57"/>
      <c r="RTF68" s="57"/>
      <c r="RTG68" s="57"/>
      <c r="RTH68" s="57"/>
      <c r="RTI68" s="57"/>
      <c r="RTJ68" s="57"/>
      <c r="RTK68" s="59" t="s">
        <v>77</v>
      </c>
      <c r="RTL68" s="59" t="s">
        <v>78</v>
      </c>
      <c r="RTM68" s="59" t="s">
        <v>79</v>
      </c>
      <c r="RTN68" s="59" t="s">
        <v>80</v>
      </c>
      <c r="RTO68" s="59" t="s">
        <v>81</v>
      </c>
      <c r="RTP68" s="59" t="s">
        <v>64</v>
      </c>
      <c r="RTQ68" s="59" t="s">
        <v>98</v>
      </c>
      <c r="RTR68" s="59" t="s">
        <v>124</v>
      </c>
      <c r="RTS68" s="59" t="s">
        <v>101</v>
      </c>
      <c r="RTT68" s="56"/>
      <c r="RTU68" s="57"/>
      <c r="RTV68" s="57"/>
      <c r="RTW68" s="57"/>
      <c r="RTX68" s="57"/>
      <c r="RTY68" s="57"/>
      <c r="RTZ68" s="57"/>
      <c r="RUA68" s="59" t="s">
        <v>77</v>
      </c>
      <c r="RUB68" s="59" t="s">
        <v>78</v>
      </c>
      <c r="RUC68" s="59" t="s">
        <v>79</v>
      </c>
      <c r="RUD68" s="59" t="s">
        <v>80</v>
      </c>
      <c r="RUE68" s="59" t="s">
        <v>81</v>
      </c>
      <c r="RUF68" s="59" t="s">
        <v>64</v>
      </c>
      <c r="RUG68" s="59" t="s">
        <v>98</v>
      </c>
      <c r="RUH68" s="59" t="s">
        <v>124</v>
      </c>
      <c r="RUI68" s="59" t="s">
        <v>101</v>
      </c>
      <c r="RUJ68" s="56"/>
      <c r="RUK68" s="57"/>
      <c r="RUL68" s="57"/>
      <c r="RUM68" s="57"/>
      <c r="RUN68" s="57"/>
      <c r="RUO68" s="57"/>
      <c r="RUP68" s="57"/>
      <c r="RUQ68" s="59" t="s">
        <v>77</v>
      </c>
      <c r="RUR68" s="59" t="s">
        <v>78</v>
      </c>
      <c r="RUS68" s="59" t="s">
        <v>79</v>
      </c>
      <c r="RUT68" s="59" t="s">
        <v>80</v>
      </c>
      <c r="RUU68" s="59" t="s">
        <v>81</v>
      </c>
      <c r="RUV68" s="59" t="s">
        <v>64</v>
      </c>
      <c r="RUW68" s="59" t="s">
        <v>98</v>
      </c>
      <c r="RUX68" s="59" t="s">
        <v>124</v>
      </c>
      <c r="RUY68" s="59" t="s">
        <v>101</v>
      </c>
      <c r="RUZ68" s="56"/>
      <c r="RVA68" s="57"/>
      <c r="RVB68" s="57"/>
      <c r="RVC68" s="57"/>
      <c r="RVD68" s="57"/>
      <c r="RVE68" s="57"/>
      <c r="RVF68" s="57"/>
      <c r="RVG68" s="59" t="s">
        <v>77</v>
      </c>
      <c r="RVH68" s="59" t="s">
        <v>78</v>
      </c>
      <c r="RVI68" s="59" t="s">
        <v>79</v>
      </c>
      <c r="RVJ68" s="59" t="s">
        <v>80</v>
      </c>
      <c r="RVK68" s="59" t="s">
        <v>81</v>
      </c>
      <c r="RVL68" s="59" t="s">
        <v>64</v>
      </c>
      <c r="RVM68" s="59" t="s">
        <v>98</v>
      </c>
      <c r="RVN68" s="59" t="s">
        <v>124</v>
      </c>
      <c r="RVO68" s="59" t="s">
        <v>101</v>
      </c>
      <c r="RVP68" s="56"/>
      <c r="RVQ68" s="57"/>
      <c r="RVR68" s="57"/>
      <c r="RVS68" s="57"/>
      <c r="RVT68" s="57"/>
      <c r="RVU68" s="57"/>
      <c r="RVV68" s="57"/>
      <c r="RVW68" s="59" t="s">
        <v>77</v>
      </c>
      <c r="RVX68" s="59" t="s">
        <v>78</v>
      </c>
      <c r="RVY68" s="59" t="s">
        <v>79</v>
      </c>
      <c r="RVZ68" s="59" t="s">
        <v>80</v>
      </c>
      <c r="RWA68" s="59" t="s">
        <v>81</v>
      </c>
      <c r="RWB68" s="59" t="s">
        <v>64</v>
      </c>
      <c r="RWC68" s="59" t="s">
        <v>98</v>
      </c>
      <c r="RWD68" s="59" t="s">
        <v>124</v>
      </c>
      <c r="RWE68" s="59" t="s">
        <v>101</v>
      </c>
      <c r="RWF68" s="56"/>
      <c r="RWG68" s="57"/>
      <c r="RWH68" s="57"/>
      <c r="RWI68" s="57"/>
      <c r="RWJ68" s="57"/>
      <c r="RWK68" s="57"/>
      <c r="RWL68" s="57"/>
      <c r="RWM68" s="59" t="s">
        <v>77</v>
      </c>
      <c r="RWN68" s="59" t="s">
        <v>78</v>
      </c>
      <c r="RWO68" s="59" t="s">
        <v>79</v>
      </c>
      <c r="RWP68" s="59" t="s">
        <v>80</v>
      </c>
      <c r="RWQ68" s="59" t="s">
        <v>81</v>
      </c>
      <c r="RWR68" s="59" t="s">
        <v>64</v>
      </c>
      <c r="RWS68" s="59" t="s">
        <v>98</v>
      </c>
      <c r="RWT68" s="59" t="s">
        <v>124</v>
      </c>
      <c r="RWU68" s="59" t="s">
        <v>101</v>
      </c>
      <c r="RWV68" s="56"/>
      <c r="RWW68" s="57"/>
      <c r="RWX68" s="57"/>
      <c r="RWY68" s="57"/>
      <c r="RWZ68" s="57"/>
      <c r="RXA68" s="57"/>
      <c r="RXB68" s="57"/>
      <c r="RXC68" s="59" t="s">
        <v>77</v>
      </c>
      <c r="RXD68" s="59" t="s">
        <v>78</v>
      </c>
      <c r="RXE68" s="59" t="s">
        <v>79</v>
      </c>
      <c r="RXF68" s="59" t="s">
        <v>80</v>
      </c>
      <c r="RXG68" s="59" t="s">
        <v>81</v>
      </c>
      <c r="RXH68" s="59" t="s">
        <v>64</v>
      </c>
      <c r="RXI68" s="59" t="s">
        <v>98</v>
      </c>
      <c r="RXJ68" s="59" t="s">
        <v>124</v>
      </c>
      <c r="RXK68" s="59" t="s">
        <v>101</v>
      </c>
      <c r="RXL68" s="56"/>
      <c r="RXM68" s="57"/>
      <c r="RXN68" s="57"/>
      <c r="RXO68" s="57"/>
      <c r="RXP68" s="57"/>
      <c r="RXQ68" s="57"/>
      <c r="RXR68" s="57"/>
      <c r="RXS68" s="59" t="s">
        <v>77</v>
      </c>
      <c r="RXT68" s="59" t="s">
        <v>78</v>
      </c>
      <c r="RXU68" s="59" t="s">
        <v>79</v>
      </c>
      <c r="RXV68" s="59" t="s">
        <v>80</v>
      </c>
      <c r="RXW68" s="59" t="s">
        <v>81</v>
      </c>
      <c r="RXX68" s="59" t="s">
        <v>64</v>
      </c>
      <c r="RXY68" s="59" t="s">
        <v>98</v>
      </c>
      <c r="RXZ68" s="59" t="s">
        <v>124</v>
      </c>
      <c r="RYA68" s="59" t="s">
        <v>101</v>
      </c>
      <c r="RYB68" s="56"/>
      <c r="RYC68" s="57"/>
      <c r="RYD68" s="57"/>
      <c r="RYE68" s="57"/>
      <c r="RYF68" s="57"/>
      <c r="RYG68" s="57"/>
      <c r="RYH68" s="57"/>
      <c r="RYI68" s="59" t="s">
        <v>77</v>
      </c>
      <c r="RYJ68" s="59" t="s">
        <v>78</v>
      </c>
      <c r="RYK68" s="59" t="s">
        <v>79</v>
      </c>
      <c r="RYL68" s="59" t="s">
        <v>80</v>
      </c>
      <c r="RYM68" s="59" t="s">
        <v>81</v>
      </c>
      <c r="RYN68" s="59" t="s">
        <v>64</v>
      </c>
      <c r="RYO68" s="59" t="s">
        <v>98</v>
      </c>
      <c r="RYP68" s="59" t="s">
        <v>124</v>
      </c>
      <c r="RYQ68" s="59" t="s">
        <v>101</v>
      </c>
      <c r="RYR68" s="56"/>
      <c r="RYS68" s="57"/>
      <c r="RYT68" s="57"/>
      <c r="RYU68" s="57"/>
      <c r="RYV68" s="57"/>
      <c r="RYW68" s="57"/>
      <c r="RYX68" s="57"/>
      <c r="RYY68" s="59" t="s">
        <v>77</v>
      </c>
      <c r="RYZ68" s="59" t="s">
        <v>78</v>
      </c>
      <c r="RZA68" s="59" t="s">
        <v>79</v>
      </c>
      <c r="RZB68" s="59" t="s">
        <v>80</v>
      </c>
      <c r="RZC68" s="59" t="s">
        <v>81</v>
      </c>
      <c r="RZD68" s="59" t="s">
        <v>64</v>
      </c>
      <c r="RZE68" s="59" t="s">
        <v>98</v>
      </c>
      <c r="RZF68" s="59" t="s">
        <v>124</v>
      </c>
      <c r="RZG68" s="59" t="s">
        <v>101</v>
      </c>
      <c r="RZH68" s="56"/>
      <c r="RZI68" s="57"/>
      <c r="RZJ68" s="57"/>
      <c r="RZK68" s="57"/>
      <c r="RZL68" s="57"/>
      <c r="RZM68" s="57"/>
      <c r="RZN68" s="57"/>
      <c r="RZO68" s="59" t="s">
        <v>77</v>
      </c>
      <c r="RZP68" s="59" t="s">
        <v>78</v>
      </c>
      <c r="RZQ68" s="59" t="s">
        <v>79</v>
      </c>
      <c r="RZR68" s="59" t="s">
        <v>80</v>
      </c>
      <c r="RZS68" s="59" t="s">
        <v>81</v>
      </c>
      <c r="RZT68" s="59" t="s">
        <v>64</v>
      </c>
      <c r="RZU68" s="59" t="s">
        <v>98</v>
      </c>
      <c r="RZV68" s="59" t="s">
        <v>124</v>
      </c>
      <c r="RZW68" s="59" t="s">
        <v>101</v>
      </c>
      <c r="RZX68" s="56"/>
      <c r="RZY68" s="57"/>
      <c r="RZZ68" s="57"/>
      <c r="SAA68" s="57"/>
      <c r="SAB68" s="57"/>
      <c r="SAC68" s="57"/>
      <c r="SAD68" s="57"/>
      <c r="SAE68" s="59" t="s">
        <v>77</v>
      </c>
      <c r="SAF68" s="59" t="s">
        <v>78</v>
      </c>
      <c r="SAG68" s="59" t="s">
        <v>79</v>
      </c>
      <c r="SAH68" s="59" t="s">
        <v>80</v>
      </c>
      <c r="SAI68" s="59" t="s">
        <v>81</v>
      </c>
      <c r="SAJ68" s="59" t="s">
        <v>64</v>
      </c>
      <c r="SAK68" s="59" t="s">
        <v>98</v>
      </c>
      <c r="SAL68" s="59" t="s">
        <v>124</v>
      </c>
      <c r="SAM68" s="59" t="s">
        <v>101</v>
      </c>
      <c r="SAN68" s="56"/>
      <c r="SAO68" s="57"/>
      <c r="SAP68" s="57"/>
      <c r="SAQ68" s="57"/>
      <c r="SAR68" s="57"/>
      <c r="SAS68" s="57"/>
      <c r="SAT68" s="57"/>
      <c r="SAU68" s="59" t="s">
        <v>77</v>
      </c>
      <c r="SAV68" s="59" t="s">
        <v>78</v>
      </c>
      <c r="SAW68" s="59" t="s">
        <v>79</v>
      </c>
      <c r="SAX68" s="59" t="s">
        <v>80</v>
      </c>
      <c r="SAY68" s="59" t="s">
        <v>81</v>
      </c>
      <c r="SAZ68" s="59" t="s">
        <v>64</v>
      </c>
      <c r="SBA68" s="59" t="s">
        <v>98</v>
      </c>
      <c r="SBB68" s="59" t="s">
        <v>124</v>
      </c>
      <c r="SBC68" s="59" t="s">
        <v>101</v>
      </c>
      <c r="SBD68" s="56"/>
      <c r="SBE68" s="57"/>
      <c r="SBF68" s="57"/>
      <c r="SBG68" s="57"/>
      <c r="SBH68" s="57"/>
      <c r="SBI68" s="57"/>
      <c r="SBJ68" s="57"/>
      <c r="SBK68" s="59" t="s">
        <v>77</v>
      </c>
      <c r="SBL68" s="59" t="s">
        <v>78</v>
      </c>
      <c r="SBM68" s="59" t="s">
        <v>79</v>
      </c>
      <c r="SBN68" s="59" t="s">
        <v>80</v>
      </c>
      <c r="SBO68" s="59" t="s">
        <v>81</v>
      </c>
      <c r="SBP68" s="59" t="s">
        <v>64</v>
      </c>
      <c r="SBQ68" s="59" t="s">
        <v>98</v>
      </c>
      <c r="SBR68" s="59" t="s">
        <v>124</v>
      </c>
      <c r="SBS68" s="59" t="s">
        <v>101</v>
      </c>
      <c r="SBT68" s="56"/>
      <c r="SBU68" s="57"/>
      <c r="SBV68" s="57"/>
      <c r="SBW68" s="57"/>
      <c r="SBX68" s="57"/>
      <c r="SBY68" s="57"/>
      <c r="SBZ68" s="57"/>
      <c r="SCA68" s="59" t="s">
        <v>77</v>
      </c>
      <c r="SCB68" s="59" t="s">
        <v>78</v>
      </c>
      <c r="SCC68" s="59" t="s">
        <v>79</v>
      </c>
      <c r="SCD68" s="59" t="s">
        <v>80</v>
      </c>
      <c r="SCE68" s="59" t="s">
        <v>81</v>
      </c>
      <c r="SCF68" s="59" t="s">
        <v>64</v>
      </c>
      <c r="SCG68" s="59" t="s">
        <v>98</v>
      </c>
      <c r="SCH68" s="59" t="s">
        <v>124</v>
      </c>
      <c r="SCI68" s="59" t="s">
        <v>101</v>
      </c>
      <c r="SCJ68" s="56"/>
      <c r="SCK68" s="57"/>
      <c r="SCL68" s="57"/>
      <c r="SCM68" s="57"/>
      <c r="SCN68" s="57"/>
      <c r="SCO68" s="57"/>
      <c r="SCP68" s="57"/>
      <c r="SCQ68" s="59" t="s">
        <v>77</v>
      </c>
      <c r="SCR68" s="59" t="s">
        <v>78</v>
      </c>
      <c r="SCS68" s="59" t="s">
        <v>79</v>
      </c>
      <c r="SCT68" s="59" t="s">
        <v>80</v>
      </c>
      <c r="SCU68" s="59" t="s">
        <v>81</v>
      </c>
      <c r="SCV68" s="59" t="s">
        <v>64</v>
      </c>
      <c r="SCW68" s="59" t="s">
        <v>98</v>
      </c>
      <c r="SCX68" s="59" t="s">
        <v>124</v>
      </c>
      <c r="SCY68" s="59" t="s">
        <v>101</v>
      </c>
      <c r="SCZ68" s="56"/>
      <c r="SDA68" s="57"/>
      <c r="SDB68" s="57"/>
      <c r="SDC68" s="57"/>
      <c r="SDD68" s="57"/>
      <c r="SDE68" s="57"/>
      <c r="SDF68" s="57"/>
      <c r="SDG68" s="59" t="s">
        <v>77</v>
      </c>
      <c r="SDH68" s="59" t="s">
        <v>78</v>
      </c>
      <c r="SDI68" s="59" t="s">
        <v>79</v>
      </c>
      <c r="SDJ68" s="59" t="s">
        <v>80</v>
      </c>
      <c r="SDK68" s="59" t="s">
        <v>81</v>
      </c>
      <c r="SDL68" s="59" t="s">
        <v>64</v>
      </c>
      <c r="SDM68" s="59" t="s">
        <v>98</v>
      </c>
      <c r="SDN68" s="59" t="s">
        <v>124</v>
      </c>
      <c r="SDO68" s="59" t="s">
        <v>101</v>
      </c>
      <c r="SDP68" s="56"/>
      <c r="SDQ68" s="57"/>
      <c r="SDR68" s="57"/>
      <c r="SDS68" s="57"/>
      <c r="SDT68" s="57"/>
      <c r="SDU68" s="57"/>
      <c r="SDV68" s="57"/>
      <c r="SDW68" s="59" t="s">
        <v>77</v>
      </c>
      <c r="SDX68" s="59" t="s">
        <v>78</v>
      </c>
      <c r="SDY68" s="59" t="s">
        <v>79</v>
      </c>
      <c r="SDZ68" s="59" t="s">
        <v>80</v>
      </c>
      <c r="SEA68" s="59" t="s">
        <v>81</v>
      </c>
      <c r="SEB68" s="59" t="s">
        <v>64</v>
      </c>
      <c r="SEC68" s="59" t="s">
        <v>98</v>
      </c>
      <c r="SED68" s="59" t="s">
        <v>124</v>
      </c>
      <c r="SEE68" s="59" t="s">
        <v>101</v>
      </c>
      <c r="SEF68" s="56"/>
      <c r="SEG68" s="57"/>
      <c r="SEH68" s="57"/>
      <c r="SEI68" s="57"/>
      <c r="SEJ68" s="57"/>
      <c r="SEK68" s="57"/>
      <c r="SEL68" s="57"/>
      <c r="SEM68" s="59" t="s">
        <v>77</v>
      </c>
      <c r="SEN68" s="59" t="s">
        <v>78</v>
      </c>
      <c r="SEO68" s="59" t="s">
        <v>79</v>
      </c>
      <c r="SEP68" s="59" t="s">
        <v>80</v>
      </c>
      <c r="SEQ68" s="59" t="s">
        <v>81</v>
      </c>
      <c r="SER68" s="59" t="s">
        <v>64</v>
      </c>
      <c r="SES68" s="59" t="s">
        <v>98</v>
      </c>
      <c r="SET68" s="59" t="s">
        <v>124</v>
      </c>
      <c r="SEU68" s="59" t="s">
        <v>101</v>
      </c>
      <c r="SEV68" s="56"/>
      <c r="SEW68" s="57"/>
      <c r="SEX68" s="57"/>
      <c r="SEY68" s="57"/>
      <c r="SEZ68" s="57"/>
      <c r="SFA68" s="57"/>
      <c r="SFB68" s="57"/>
      <c r="SFC68" s="59" t="s">
        <v>77</v>
      </c>
      <c r="SFD68" s="59" t="s">
        <v>78</v>
      </c>
      <c r="SFE68" s="59" t="s">
        <v>79</v>
      </c>
      <c r="SFF68" s="59" t="s">
        <v>80</v>
      </c>
      <c r="SFG68" s="59" t="s">
        <v>81</v>
      </c>
      <c r="SFH68" s="59" t="s">
        <v>64</v>
      </c>
      <c r="SFI68" s="59" t="s">
        <v>98</v>
      </c>
      <c r="SFJ68" s="59" t="s">
        <v>124</v>
      </c>
      <c r="SFK68" s="59" t="s">
        <v>101</v>
      </c>
      <c r="SFL68" s="56"/>
      <c r="SFM68" s="57"/>
      <c r="SFN68" s="57"/>
      <c r="SFO68" s="57"/>
      <c r="SFP68" s="57"/>
      <c r="SFQ68" s="57"/>
      <c r="SFR68" s="57"/>
      <c r="SFS68" s="59" t="s">
        <v>77</v>
      </c>
      <c r="SFT68" s="59" t="s">
        <v>78</v>
      </c>
      <c r="SFU68" s="59" t="s">
        <v>79</v>
      </c>
      <c r="SFV68" s="59" t="s">
        <v>80</v>
      </c>
      <c r="SFW68" s="59" t="s">
        <v>81</v>
      </c>
      <c r="SFX68" s="59" t="s">
        <v>64</v>
      </c>
      <c r="SFY68" s="59" t="s">
        <v>98</v>
      </c>
      <c r="SFZ68" s="59" t="s">
        <v>124</v>
      </c>
      <c r="SGA68" s="59" t="s">
        <v>101</v>
      </c>
      <c r="SGB68" s="56"/>
      <c r="SGC68" s="57"/>
      <c r="SGD68" s="57"/>
      <c r="SGE68" s="57"/>
      <c r="SGF68" s="57"/>
      <c r="SGG68" s="57"/>
      <c r="SGH68" s="57"/>
      <c r="SGI68" s="59" t="s">
        <v>77</v>
      </c>
      <c r="SGJ68" s="59" t="s">
        <v>78</v>
      </c>
      <c r="SGK68" s="59" t="s">
        <v>79</v>
      </c>
      <c r="SGL68" s="59" t="s">
        <v>80</v>
      </c>
      <c r="SGM68" s="59" t="s">
        <v>81</v>
      </c>
      <c r="SGN68" s="59" t="s">
        <v>64</v>
      </c>
      <c r="SGO68" s="59" t="s">
        <v>98</v>
      </c>
      <c r="SGP68" s="59" t="s">
        <v>124</v>
      </c>
      <c r="SGQ68" s="59" t="s">
        <v>101</v>
      </c>
      <c r="SGR68" s="56"/>
      <c r="SGS68" s="57"/>
      <c r="SGT68" s="57"/>
      <c r="SGU68" s="57"/>
      <c r="SGV68" s="57"/>
      <c r="SGW68" s="57"/>
      <c r="SGX68" s="57"/>
      <c r="SGY68" s="59" t="s">
        <v>77</v>
      </c>
      <c r="SGZ68" s="59" t="s">
        <v>78</v>
      </c>
      <c r="SHA68" s="59" t="s">
        <v>79</v>
      </c>
      <c r="SHB68" s="59" t="s">
        <v>80</v>
      </c>
      <c r="SHC68" s="59" t="s">
        <v>81</v>
      </c>
      <c r="SHD68" s="59" t="s">
        <v>64</v>
      </c>
      <c r="SHE68" s="59" t="s">
        <v>98</v>
      </c>
      <c r="SHF68" s="59" t="s">
        <v>124</v>
      </c>
      <c r="SHG68" s="59" t="s">
        <v>101</v>
      </c>
      <c r="SHH68" s="56"/>
      <c r="SHI68" s="57"/>
      <c r="SHJ68" s="57"/>
      <c r="SHK68" s="57"/>
      <c r="SHL68" s="57"/>
      <c r="SHM68" s="57"/>
      <c r="SHN68" s="57"/>
      <c r="SHO68" s="59" t="s">
        <v>77</v>
      </c>
      <c r="SHP68" s="59" t="s">
        <v>78</v>
      </c>
      <c r="SHQ68" s="59" t="s">
        <v>79</v>
      </c>
      <c r="SHR68" s="59" t="s">
        <v>80</v>
      </c>
      <c r="SHS68" s="59" t="s">
        <v>81</v>
      </c>
      <c r="SHT68" s="59" t="s">
        <v>64</v>
      </c>
      <c r="SHU68" s="59" t="s">
        <v>98</v>
      </c>
      <c r="SHV68" s="59" t="s">
        <v>124</v>
      </c>
      <c r="SHW68" s="59" t="s">
        <v>101</v>
      </c>
      <c r="SHX68" s="56"/>
      <c r="SHY68" s="57"/>
      <c r="SHZ68" s="57"/>
      <c r="SIA68" s="57"/>
      <c r="SIB68" s="57"/>
      <c r="SIC68" s="57"/>
      <c r="SID68" s="57"/>
      <c r="SIE68" s="59" t="s">
        <v>77</v>
      </c>
      <c r="SIF68" s="59" t="s">
        <v>78</v>
      </c>
      <c r="SIG68" s="59" t="s">
        <v>79</v>
      </c>
      <c r="SIH68" s="59" t="s">
        <v>80</v>
      </c>
      <c r="SII68" s="59" t="s">
        <v>81</v>
      </c>
      <c r="SIJ68" s="59" t="s">
        <v>64</v>
      </c>
      <c r="SIK68" s="59" t="s">
        <v>98</v>
      </c>
      <c r="SIL68" s="59" t="s">
        <v>124</v>
      </c>
      <c r="SIM68" s="59" t="s">
        <v>101</v>
      </c>
      <c r="SIN68" s="56"/>
      <c r="SIO68" s="57"/>
      <c r="SIP68" s="57"/>
      <c r="SIQ68" s="57"/>
      <c r="SIR68" s="57"/>
      <c r="SIS68" s="57"/>
      <c r="SIT68" s="57"/>
      <c r="SIU68" s="59" t="s">
        <v>77</v>
      </c>
      <c r="SIV68" s="59" t="s">
        <v>78</v>
      </c>
      <c r="SIW68" s="59" t="s">
        <v>79</v>
      </c>
      <c r="SIX68" s="59" t="s">
        <v>80</v>
      </c>
      <c r="SIY68" s="59" t="s">
        <v>81</v>
      </c>
      <c r="SIZ68" s="59" t="s">
        <v>64</v>
      </c>
      <c r="SJA68" s="59" t="s">
        <v>98</v>
      </c>
      <c r="SJB68" s="59" t="s">
        <v>124</v>
      </c>
      <c r="SJC68" s="59" t="s">
        <v>101</v>
      </c>
      <c r="SJD68" s="56"/>
      <c r="SJE68" s="57"/>
      <c r="SJF68" s="57"/>
      <c r="SJG68" s="57"/>
      <c r="SJH68" s="57"/>
      <c r="SJI68" s="57"/>
      <c r="SJJ68" s="57"/>
      <c r="SJK68" s="59" t="s">
        <v>77</v>
      </c>
      <c r="SJL68" s="59" t="s">
        <v>78</v>
      </c>
      <c r="SJM68" s="59" t="s">
        <v>79</v>
      </c>
      <c r="SJN68" s="59" t="s">
        <v>80</v>
      </c>
      <c r="SJO68" s="59" t="s">
        <v>81</v>
      </c>
      <c r="SJP68" s="59" t="s">
        <v>64</v>
      </c>
      <c r="SJQ68" s="59" t="s">
        <v>98</v>
      </c>
      <c r="SJR68" s="59" t="s">
        <v>124</v>
      </c>
      <c r="SJS68" s="59" t="s">
        <v>101</v>
      </c>
      <c r="SJT68" s="56"/>
      <c r="SJU68" s="57"/>
      <c r="SJV68" s="57"/>
      <c r="SJW68" s="57"/>
      <c r="SJX68" s="57"/>
      <c r="SJY68" s="57"/>
      <c r="SJZ68" s="57"/>
      <c r="SKA68" s="59" t="s">
        <v>77</v>
      </c>
      <c r="SKB68" s="59" t="s">
        <v>78</v>
      </c>
      <c r="SKC68" s="59" t="s">
        <v>79</v>
      </c>
      <c r="SKD68" s="59" t="s">
        <v>80</v>
      </c>
      <c r="SKE68" s="59" t="s">
        <v>81</v>
      </c>
      <c r="SKF68" s="59" t="s">
        <v>64</v>
      </c>
      <c r="SKG68" s="59" t="s">
        <v>98</v>
      </c>
      <c r="SKH68" s="59" t="s">
        <v>124</v>
      </c>
      <c r="SKI68" s="59" t="s">
        <v>101</v>
      </c>
      <c r="SKJ68" s="56"/>
      <c r="SKK68" s="57"/>
      <c r="SKL68" s="57"/>
      <c r="SKM68" s="57"/>
      <c r="SKN68" s="57"/>
      <c r="SKO68" s="57"/>
      <c r="SKP68" s="57"/>
      <c r="SKQ68" s="59" t="s">
        <v>77</v>
      </c>
      <c r="SKR68" s="59" t="s">
        <v>78</v>
      </c>
      <c r="SKS68" s="59" t="s">
        <v>79</v>
      </c>
      <c r="SKT68" s="59" t="s">
        <v>80</v>
      </c>
      <c r="SKU68" s="59" t="s">
        <v>81</v>
      </c>
      <c r="SKV68" s="59" t="s">
        <v>64</v>
      </c>
      <c r="SKW68" s="59" t="s">
        <v>98</v>
      </c>
      <c r="SKX68" s="59" t="s">
        <v>124</v>
      </c>
      <c r="SKY68" s="59" t="s">
        <v>101</v>
      </c>
      <c r="SKZ68" s="56"/>
      <c r="SLA68" s="57"/>
      <c r="SLB68" s="57"/>
      <c r="SLC68" s="57"/>
      <c r="SLD68" s="57"/>
      <c r="SLE68" s="57"/>
      <c r="SLF68" s="57"/>
      <c r="SLG68" s="59" t="s">
        <v>77</v>
      </c>
      <c r="SLH68" s="59" t="s">
        <v>78</v>
      </c>
      <c r="SLI68" s="59" t="s">
        <v>79</v>
      </c>
      <c r="SLJ68" s="59" t="s">
        <v>80</v>
      </c>
      <c r="SLK68" s="59" t="s">
        <v>81</v>
      </c>
      <c r="SLL68" s="59" t="s">
        <v>64</v>
      </c>
      <c r="SLM68" s="59" t="s">
        <v>98</v>
      </c>
      <c r="SLN68" s="59" t="s">
        <v>124</v>
      </c>
      <c r="SLO68" s="59" t="s">
        <v>101</v>
      </c>
      <c r="SLP68" s="56"/>
      <c r="SLQ68" s="57"/>
      <c r="SLR68" s="57"/>
      <c r="SLS68" s="57"/>
      <c r="SLT68" s="57"/>
      <c r="SLU68" s="57"/>
      <c r="SLV68" s="57"/>
      <c r="SLW68" s="59" t="s">
        <v>77</v>
      </c>
      <c r="SLX68" s="59" t="s">
        <v>78</v>
      </c>
      <c r="SLY68" s="59" t="s">
        <v>79</v>
      </c>
      <c r="SLZ68" s="59" t="s">
        <v>80</v>
      </c>
      <c r="SMA68" s="59" t="s">
        <v>81</v>
      </c>
      <c r="SMB68" s="59" t="s">
        <v>64</v>
      </c>
      <c r="SMC68" s="59" t="s">
        <v>98</v>
      </c>
      <c r="SMD68" s="59" t="s">
        <v>124</v>
      </c>
      <c r="SME68" s="59" t="s">
        <v>101</v>
      </c>
      <c r="SMF68" s="56"/>
      <c r="SMG68" s="57"/>
      <c r="SMH68" s="57"/>
      <c r="SMI68" s="57"/>
      <c r="SMJ68" s="57"/>
      <c r="SMK68" s="57"/>
      <c r="SML68" s="57"/>
      <c r="SMM68" s="59" t="s">
        <v>77</v>
      </c>
      <c r="SMN68" s="59" t="s">
        <v>78</v>
      </c>
      <c r="SMO68" s="59" t="s">
        <v>79</v>
      </c>
      <c r="SMP68" s="59" t="s">
        <v>80</v>
      </c>
      <c r="SMQ68" s="59" t="s">
        <v>81</v>
      </c>
      <c r="SMR68" s="59" t="s">
        <v>64</v>
      </c>
      <c r="SMS68" s="59" t="s">
        <v>98</v>
      </c>
      <c r="SMT68" s="59" t="s">
        <v>124</v>
      </c>
      <c r="SMU68" s="59" t="s">
        <v>101</v>
      </c>
      <c r="SMV68" s="56"/>
      <c r="SMW68" s="57"/>
      <c r="SMX68" s="57"/>
      <c r="SMY68" s="57"/>
      <c r="SMZ68" s="57"/>
      <c r="SNA68" s="57"/>
      <c r="SNB68" s="57"/>
      <c r="SNC68" s="59" t="s">
        <v>77</v>
      </c>
      <c r="SND68" s="59" t="s">
        <v>78</v>
      </c>
      <c r="SNE68" s="59" t="s">
        <v>79</v>
      </c>
      <c r="SNF68" s="59" t="s">
        <v>80</v>
      </c>
      <c r="SNG68" s="59" t="s">
        <v>81</v>
      </c>
      <c r="SNH68" s="59" t="s">
        <v>64</v>
      </c>
      <c r="SNI68" s="59" t="s">
        <v>98</v>
      </c>
      <c r="SNJ68" s="59" t="s">
        <v>124</v>
      </c>
      <c r="SNK68" s="59" t="s">
        <v>101</v>
      </c>
      <c r="SNL68" s="56"/>
      <c r="SNM68" s="57"/>
      <c r="SNN68" s="57"/>
      <c r="SNO68" s="57"/>
      <c r="SNP68" s="57"/>
      <c r="SNQ68" s="57"/>
      <c r="SNR68" s="57"/>
      <c r="SNS68" s="59" t="s">
        <v>77</v>
      </c>
      <c r="SNT68" s="59" t="s">
        <v>78</v>
      </c>
      <c r="SNU68" s="59" t="s">
        <v>79</v>
      </c>
      <c r="SNV68" s="59" t="s">
        <v>80</v>
      </c>
      <c r="SNW68" s="59" t="s">
        <v>81</v>
      </c>
      <c r="SNX68" s="59" t="s">
        <v>64</v>
      </c>
      <c r="SNY68" s="59" t="s">
        <v>98</v>
      </c>
      <c r="SNZ68" s="59" t="s">
        <v>124</v>
      </c>
      <c r="SOA68" s="59" t="s">
        <v>101</v>
      </c>
      <c r="SOB68" s="56"/>
      <c r="SOC68" s="57"/>
      <c r="SOD68" s="57"/>
      <c r="SOE68" s="57"/>
      <c r="SOF68" s="57"/>
      <c r="SOG68" s="57"/>
      <c r="SOH68" s="57"/>
      <c r="SOI68" s="59" t="s">
        <v>77</v>
      </c>
      <c r="SOJ68" s="59" t="s">
        <v>78</v>
      </c>
      <c r="SOK68" s="59" t="s">
        <v>79</v>
      </c>
      <c r="SOL68" s="59" t="s">
        <v>80</v>
      </c>
      <c r="SOM68" s="59" t="s">
        <v>81</v>
      </c>
      <c r="SON68" s="59" t="s">
        <v>64</v>
      </c>
      <c r="SOO68" s="59" t="s">
        <v>98</v>
      </c>
      <c r="SOP68" s="59" t="s">
        <v>124</v>
      </c>
      <c r="SOQ68" s="59" t="s">
        <v>101</v>
      </c>
      <c r="SOR68" s="56"/>
      <c r="SOS68" s="57"/>
      <c r="SOT68" s="57"/>
      <c r="SOU68" s="57"/>
      <c r="SOV68" s="57"/>
      <c r="SOW68" s="57"/>
      <c r="SOX68" s="57"/>
      <c r="SOY68" s="59" t="s">
        <v>77</v>
      </c>
      <c r="SOZ68" s="59" t="s">
        <v>78</v>
      </c>
      <c r="SPA68" s="59" t="s">
        <v>79</v>
      </c>
      <c r="SPB68" s="59" t="s">
        <v>80</v>
      </c>
      <c r="SPC68" s="59" t="s">
        <v>81</v>
      </c>
      <c r="SPD68" s="59" t="s">
        <v>64</v>
      </c>
      <c r="SPE68" s="59" t="s">
        <v>98</v>
      </c>
      <c r="SPF68" s="59" t="s">
        <v>124</v>
      </c>
      <c r="SPG68" s="59" t="s">
        <v>101</v>
      </c>
      <c r="SPH68" s="56"/>
      <c r="SPI68" s="57"/>
      <c r="SPJ68" s="57"/>
      <c r="SPK68" s="57"/>
      <c r="SPL68" s="57"/>
      <c r="SPM68" s="57"/>
      <c r="SPN68" s="57"/>
      <c r="SPO68" s="59" t="s">
        <v>77</v>
      </c>
      <c r="SPP68" s="59" t="s">
        <v>78</v>
      </c>
      <c r="SPQ68" s="59" t="s">
        <v>79</v>
      </c>
      <c r="SPR68" s="59" t="s">
        <v>80</v>
      </c>
      <c r="SPS68" s="59" t="s">
        <v>81</v>
      </c>
      <c r="SPT68" s="59" t="s">
        <v>64</v>
      </c>
      <c r="SPU68" s="59" t="s">
        <v>98</v>
      </c>
      <c r="SPV68" s="59" t="s">
        <v>124</v>
      </c>
      <c r="SPW68" s="59" t="s">
        <v>101</v>
      </c>
      <c r="SPX68" s="56"/>
      <c r="SPY68" s="57"/>
      <c r="SPZ68" s="57"/>
      <c r="SQA68" s="57"/>
      <c r="SQB68" s="57"/>
      <c r="SQC68" s="57"/>
      <c r="SQD68" s="57"/>
      <c r="SQE68" s="59" t="s">
        <v>77</v>
      </c>
      <c r="SQF68" s="59" t="s">
        <v>78</v>
      </c>
      <c r="SQG68" s="59" t="s">
        <v>79</v>
      </c>
      <c r="SQH68" s="59" t="s">
        <v>80</v>
      </c>
      <c r="SQI68" s="59" t="s">
        <v>81</v>
      </c>
      <c r="SQJ68" s="59" t="s">
        <v>64</v>
      </c>
      <c r="SQK68" s="59" t="s">
        <v>98</v>
      </c>
      <c r="SQL68" s="59" t="s">
        <v>124</v>
      </c>
      <c r="SQM68" s="59" t="s">
        <v>101</v>
      </c>
      <c r="SQN68" s="56"/>
      <c r="SQO68" s="57"/>
      <c r="SQP68" s="57"/>
      <c r="SQQ68" s="57"/>
      <c r="SQR68" s="57"/>
      <c r="SQS68" s="57"/>
      <c r="SQT68" s="57"/>
      <c r="SQU68" s="59" t="s">
        <v>77</v>
      </c>
      <c r="SQV68" s="59" t="s">
        <v>78</v>
      </c>
      <c r="SQW68" s="59" t="s">
        <v>79</v>
      </c>
      <c r="SQX68" s="59" t="s">
        <v>80</v>
      </c>
      <c r="SQY68" s="59" t="s">
        <v>81</v>
      </c>
      <c r="SQZ68" s="59" t="s">
        <v>64</v>
      </c>
      <c r="SRA68" s="59" t="s">
        <v>98</v>
      </c>
      <c r="SRB68" s="59" t="s">
        <v>124</v>
      </c>
      <c r="SRC68" s="59" t="s">
        <v>101</v>
      </c>
      <c r="SRD68" s="56"/>
      <c r="SRE68" s="57"/>
      <c r="SRF68" s="57"/>
      <c r="SRG68" s="57"/>
      <c r="SRH68" s="57"/>
      <c r="SRI68" s="57"/>
      <c r="SRJ68" s="57"/>
      <c r="SRK68" s="59" t="s">
        <v>77</v>
      </c>
      <c r="SRL68" s="59" t="s">
        <v>78</v>
      </c>
      <c r="SRM68" s="59" t="s">
        <v>79</v>
      </c>
      <c r="SRN68" s="59" t="s">
        <v>80</v>
      </c>
      <c r="SRO68" s="59" t="s">
        <v>81</v>
      </c>
      <c r="SRP68" s="59" t="s">
        <v>64</v>
      </c>
      <c r="SRQ68" s="59" t="s">
        <v>98</v>
      </c>
      <c r="SRR68" s="59" t="s">
        <v>124</v>
      </c>
      <c r="SRS68" s="59" t="s">
        <v>101</v>
      </c>
      <c r="SRT68" s="56"/>
      <c r="SRU68" s="57"/>
      <c r="SRV68" s="57"/>
      <c r="SRW68" s="57"/>
      <c r="SRX68" s="57"/>
      <c r="SRY68" s="57"/>
      <c r="SRZ68" s="57"/>
      <c r="SSA68" s="59" t="s">
        <v>77</v>
      </c>
      <c r="SSB68" s="59" t="s">
        <v>78</v>
      </c>
      <c r="SSC68" s="59" t="s">
        <v>79</v>
      </c>
      <c r="SSD68" s="59" t="s">
        <v>80</v>
      </c>
      <c r="SSE68" s="59" t="s">
        <v>81</v>
      </c>
      <c r="SSF68" s="59" t="s">
        <v>64</v>
      </c>
      <c r="SSG68" s="59" t="s">
        <v>98</v>
      </c>
      <c r="SSH68" s="59" t="s">
        <v>124</v>
      </c>
      <c r="SSI68" s="59" t="s">
        <v>101</v>
      </c>
      <c r="SSJ68" s="56"/>
      <c r="SSK68" s="57"/>
      <c r="SSL68" s="57"/>
      <c r="SSM68" s="57"/>
      <c r="SSN68" s="57"/>
      <c r="SSO68" s="57"/>
      <c r="SSP68" s="57"/>
      <c r="SSQ68" s="59" t="s">
        <v>77</v>
      </c>
      <c r="SSR68" s="59" t="s">
        <v>78</v>
      </c>
      <c r="SSS68" s="59" t="s">
        <v>79</v>
      </c>
      <c r="SST68" s="59" t="s">
        <v>80</v>
      </c>
      <c r="SSU68" s="59" t="s">
        <v>81</v>
      </c>
      <c r="SSV68" s="59" t="s">
        <v>64</v>
      </c>
      <c r="SSW68" s="59" t="s">
        <v>98</v>
      </c>
      <c r="SSX68" s="59" t="s">
        <v>124</v>
      </c>
      <c r="SSY68" s="59" t="s">
        <v>101</v>
      </c>
      <c r="SSZ68" s="56"/>
      <c r="STA68" s="57"/>
      <c r="STB68" s="57"/>
      <c r="STC68" s="57"/>
      <c r="STD68" s="57"/>
      <c r="STE68" s="57"/>
      <c r="STF68" s="57"/>
      <c r="STG68" s="59" t="s">
        <v>77</v>
      </c>
      <c r="STH68" s="59" t="s">
        <v>78</v>
      </c>
      <c r="STI68" s="59" t="s">
        <v>79</v>
      </c>
      <c r="STJ68" s="59" t="s">
        <v>80</v>
      </c>
      <c r="STK68" s="59" t="s">
        <v>81</v>
      </c>
      <c r="STL68" s="59" t="s">
        <v>64</v>
      </c>
      <c r="STM68" s="59" t="s">
        <v>98</v>
      </c>
      <c r="STN68" s="59" t="s">
        <v>124</v>
      </c>
      <c r="STO68" s="59" t="s">
        <v>101</v>
      </c>
      <c r="STP68" s="56"/>
      <c r="STQ68" s="57"/>
      <c r="STR68" s="57"/>
      <c r="STS68" s="57"/>
      <c r="STT68" s="57"/>
      <c r="STU68" s="57"/>
      <c r="STV68" s="57"/>
      <c r="STW68" s="59" t="s">
        <v>77</v>
      </c>
      <c r="STX68" s="59" t="s">
        <v>78</v>
      </c>
      <c r="STY68" s="59" t="s">
        <v>79</v>
      </c>
      <c r="STZ68" s="59" t="s">
        <v>80</v>
      </c>
      <c r="SUA68" s="59" t="s">
        <v>81</v>
      </c>
      <c r="SUB68" s="59" t="s">
        <v>64</v>
      </c>
      <c r="SUC68" s="59" t="s">
        <v>98</v>
      </c>
      <c r="SUD68" s="59" t="s">
        <v>124</v>
      </c>
      <c r="SUE68" s="59" t="s">
        <v>101</v>
      </c>
      <c r="SUF68" s="56"/>
      <c r="SUG68" s="57"/>
      <c r="SUH68" s="57"/>
      <c r="SUI68" s="57"/>
      <c r="SUJ68" s="57"/>
      <c r="SUK68" s="57"/>
      <c r="SUL68" s="57"/>
      <c r="SUM68" s="59" t="s">
        <v>77</v>
      </c>
      <c r="SUN68" s="59" t="s">
        <v>78</v>
      </c>
      <c r="SUO68" s="59" t="s">
        <v>79</v>
      </c>
      <c r="SUP68" s="59" t="s">
        <v>80</v>
      </c>
      <c r="SUQ68" s="59" t="s">
        <v>81</v>
      </c>
      <c r="SUR68" s="59" t="s">
        <v>64</v>
      </c>
      <c r="SUS68" s="59" t="s">
        <v>98</v>
      </c>
      <c r="SUT68" s="59" t="s">
        <v>124</v>
      </c>
      <c r="SUU68" s="59" t="s">
        <v>101</v>
      </c>
      <c r="SUV68" s="56"/>
      <c r="SUW68" s="57"/>
      <c r="SUX68" s="57"/>
      <c r="SUY68" s="57"/>
      <c r="SUZ68" s="57"/>
      <c r="SVA68" s="57"/>
      <c r="SVB68" s="57"/>
      <c r="SVC68" s="59" t="s">
        <v>77</v>
      </c>
      <c r="SVD68" s="59" t="s">
        <v>78</v>
      </c>
      <c r="SVE68" s="59" t="s">
        <v>79</v>
      </c>
      <c r="SVF68" s="59" t="s">
        <v>80</v>
      </c>
      <c r="SVG68" s="59" t="s">
        <v>81</v>
      </c>
      <c r="SVH68" s="59" t="s">
        <v>64</v>
      </c>
      <c r="SVI68" s="59" t="s">
        <v>98</v>
      </c>
      <c r="SVJ68" s="59" t="s">
        <v>124</v>
      </c>
      <c r="SVK68" s="59" t="s">
        <v>101</v>
      </c>
      <c r="SVL68" s="56"/>
      <c r="SVM68" s="57"/>
      <c r="SVN68" s="57"/>
      <c r="SVO68" s="57"/>
      <c r="SVP68" s="57"/>
      <c r="SVQ68" s="57"/>
      <c r="SVR68" s="57"/>
      <c r="SVS68" s="59" t="s">
        <v>77</v>
      </c>
      <c r="SVT68" s="59" t="s">
        <v>78</v>
      </c>
      <c r="SVU68" s="59" t="s">
        <v>79</v>
      </c>
      <c r="SVV68" s="59" t="s">
        <v>80</v>
      </c>
      <c r="SVW68" s="59" t="s">
        <v>81</v>
      </c>
      <c r="SVX68" s="59" t="s">
        <v>64</v>
      </c>
      <c r="SVY68" s="59" t="s">
        <v>98</v>
      </c>
      <c r="SVZ68" s="59" t="s">
        <v>124</v>
      </c>
      <c r="SWA68" s="59" t="s">
        <v>101</v>
      </c>
      <c r="SWB68" s="56"/>
      <c r="SWC68" s="57"/>
      <c r="SWD68" s="57"/>
      <c r="SWE68" s="57"/>
      <c r="SWF68" s="57"/>
      <c r="SWG68" s="57"/>
      <c r="SWH68" s="57"/>
      <c r="SWI68" s="59" t="s">
        <v>77</v>
      </c>
      <c r="SWJ68" s="59" t="s">
        <v>78</v>
      </c>
      <c r="SWK68" s="59" t="s">
        <v>79</v>
      </c>
      <c r="SWL68" s="59" t="s">
        <v>80</v>
      </c>
      <c r="SWM68" s="59" t="s">
        <v>81</v>
      </c>
      <c r="SWN68" s="59" t="s">
        <v>64</v>
      </c>
      <c r="SWO68" s="59" t="s">
        <v>98</v>
      </c>
      <c r="SWP68" s="59" t="s">
        <v>124</v>
      </c>
      <c r="SWQ68" s="59" t="s">
        <v>101</v>
      </c>
      <c r="SWR68" s="56"/>
      <c r="SWS68" s="57"/>
      <c r="SWT68" s="57"/>
      <c r="SWU68" s="57"/>
      <c r="SWV68" s="57"/>
      <c r="SWW68" s="57"/>
      <c r="SWX68" s="57"/>
      <c r="SWY68" s="59" t="s">
        <v>77</v>
      </c>
      <c r="SWZ68" s="59" t="s">
        <v>78</v>
      </c>
      <c r="SXA68" s="59" t="s">
        <v>79</v>
      </c>
      <c r="SXB68" s="59" t="s">
        <v>80</v>
      </c>
      <c r="SXC68" s="59" t="s">
        <v>81</v>
      </c>
      <c r="SXD68" s="59" t="s">
        <v>64</v>
      </c>
      <c r="SXE68" s="59" t="s">
        <v>98</v>
      </c>
      <c r="SXF68" s="59" t="s">
        <v>124</v>
      </c>
      <c r="SXG68" s="59" t="s">
        <v>101</v>
      </c>
      <c r="SXH68" s="56"/>
      <c r="SXI68" s="57"/>
      <c r="SXJ68" s="57"/>
      <c r="SXK68" s="57"/>
      <c r="SXL68" s="57"/>
      <c r="SXM68" s="57"/>
      <c r="SXN68" s="57"/>
      <c r="SXO68" s="59" t="s">
        <v>77</v>
      </c>
      <c r="SXP68" s="59" t="s">
        <v>78</v>
      </c>
      <c r="SXQ68" s="59" t="s">
        <v>79</v>
      </c>
      <c r="SXR68" s="59" t="s">
        <v>80</v>
      </c>
      <c r="SXS68" s="59" t="s">
        <v>81</v>
      </c>
      <c r="SXT68" s="59" t="s">
        <v>64</v>
      </c>
      <c r="SXU68" s="59" t="s">
        <v>98</v>
      </c>
      <c r="SXV68" s="59" t="s">
        <v>124</v>
      </c>
      <c r="SXW68" s="59" t="s">
        <v>101</v>
      </c>
      <c r="SXX68" s="56"/>
      <c r="SXY68" s="57"/>
      <c r="SXZ68" s="57"/>
      <c r="SYA68" s="57"/>
      <c r="SYB68" s="57"/>
      <c r="SYC68" s="57"/>
      <c r="SYD68" s="57"/>
      <c r="SYE68" s="59" t="s">
        <v>77</v>
      </c>
      <c r="SYF68" s="59" t="s">
        <v>78</v>
      </c>
      <c r="SYG68" s="59" t="s">
        <v>79</v>
      </c>
      <c r="SYH68" s="59" t="s">
        <v>80</v>
      </c>
      <c r="SYI68" s="59" t="s">
        <v>81</v>
      </c>
      <c r="SYJ68" s="59" t="s">
        <v>64</v>
      </c>
      <c r="SYK68" s="59" t="s">
        <v>98</v>
      </c>
      <c r="SYL68" s="59" t="s">
        <v>124</v>
      </c>
      <c r="SYM68" s="59" t="s">
        <v>101</v>
      </c>
      <c r="SYN68" s="56"/>
      <c r="SYO68" s="57"/>
      <c r="SYP68" s="57"/>
      <c r="SYQ68" s="57"/>
      <c r="SYR68" s="57"/>
      <c r="SYS68" s="57"/>
      <c r="SYT68" s="57"/>
      <c r="SYU68" s="59" t="s">
        <v>77</v>
      </c>
      <c r="SYV68" s="59" t="s">
        <v>78</v>
      </c>
      <c r="SYW68" s="59" t="s">
        <v>79</v>
      </c>
      <c r="SYX68" s="59" t="s">
        <v>80</v>
      </c>
      <c r="SYY68" s="59" t="s">
        <v>81</v>
      </c>
      <c r="SYZ68" s="59" t="s">
        <v>64</v>
      </c>
      <c r="SZA68" s="59" t="s">
        <v>98</v>
      </c>
      <c r="SZB68" s="59" t="s">
        <v>124</v>
      </c>
      <c r="SZC68" s="59" t="s">
        <v>101</v>
      </c>
      <c r="SZD68" s="56"/>
      <c r="SZE68" s="57"/>
      <c r="SZF68" s="57"/>
      <c r="SZG68" s="57"/>
      <c r="SZH68" s="57"/>
      <c r="SZI68" s="57"/>
      <c r="SZJ68" s="57"/>
      <c r="SZK68" s="59" t="s">
        <v>77</v>
      </c>
      <c r="SZL68" s="59" t="s">
        <v>78</v>
      </c>
      <c r="SZM68" s="59" t="s">
        <v>79</v>
      </c>
      <c r="SZN68" s="59" t="s">
        <v>80</v>
      </c>
      <c r="SZO68" s="59" t="s">
        <v>81</v>
      </c>
      <c r="SZP68" s="59" t="s">
        <v>64</v>
      </c>
      <c r="SZQ68" s="59" t="s">
        <v>98</v>
      </c>
      <c r="SZR68" s="59" t="s">
        <v>124</v>
      </c>
      <c r="SZS68" s="59" t="s">
        <v>101</v>
      </c>
      <c r="SZT68" s="56"/>
      <c r="SZU68" s="57"/>
      <c r="SZV68" s="57"/>
      <c r="SZW68" s="57"/>
      <c r="SZX68" s="57"/>
      <c r="SZY68" s="57"/>
      <c r="SZZ68" s="57"/>
      <c r="TAA68" s="59" t="s">
        <v>77</v>
      </c>
      <c r="TAB68" s="59" t="s">
        <v>78</v>
      </c>
      <c r="TAC68" s="59" t="s">
        <v>79</v>
      </c>
      <c r="TAD68" s="59" t="s">
        <v>80</v>
      </c>
      <c r="TAE68" s="59" t="s">
        <v>81</v>
      </c>
      <c r="TAF68" s="59" t="s">
        <v>64</v>
      </c>
      <c r="TAG68" s="59" t="s">
        <v>98</v>
      </c>
      <c r="TAH68" s="59" t="s">
        <v>124</v>
      </c>
      <c r="TAI68" s="59" t="s">
        <v>101</v>
      </c>
      <c r="TAJ68" s="56"/>
      <c r="TAK68" s="57"/>
      <c r="TAL68" s="57"/>
      <c r="TAM68" s="57"/>
      <c r="TAN68" s="57"/>
      <c r="TAO68" s="57"/>
      <c r="TAP68" s="57"/>
      <c r="TAQ68" s="59" t="s">
        <v>77</v>
      </c>
      <c r="TAR68" s="59" t="s">
        <v>78</v>
      </c>
      <c r="TAS68" s="59" t="s">
        <v>79</v>
      </c>
      <c r="TAT68" s="59" t="s">
        <v>80</v>
      </c>
      <c r="TAU68" s="59" t="s">
        <v>81</v>
      </c>
      <c r="TAV68" s="59" t="s">
        <v>64</v>
      </c>
      <c r="TAW68" s="59" t="s">
        <v>98</v>
      </c>
      <c r="TAX68" s="59" t="s">
        <v>124</v>
      </c>
      <c r="TAY68" s="59" t="s">
        <v>101</v>
      </c>
      <c r="TAZ68" s="56"/>
      <c r="TBA68" s="57"/>
      <c r="TBB68" s="57"/>
      <c r="TBC68" s="57"/>
      <c r="TBD68" s="57"/>
      <c r="TBE68" s="57"/>
      <c r="TBF68" s="57"/>
      <c r="TBG68" s="59" t="s">
        <v>77</v>
      </c>
      <c r="TBH68" s="59" t="s">
        <v>78</v>
      </c>
      <c r="TBI68" s="59" t="s">
        <v>79</v>
      </c>
      <c r="TBJ68" s="59" t="s">
        <v>80</v>
      </c>
      <c r="TBK68" s="59" t="s">
        <v>81</v>
      </c>
      <c r="TBL68" s="59" t="s">
        <v>64</v>
      </c>
      <c r="TBM68" s="59" t="s">
        <v>98</v>
      </c>
      <c r="TBN68" s="59" t="s">
        <v>124</v>
      </c>
      <c r="TBO68" s="59" t="s">
        <v>101</v>
      </c>
      <c r="TBP68" s="56"/>
      <c r="TBQ68" s="57"/>
      <c r="TBR68" s="57"/>
      <c r="TBS68" s="57"/>
      <c r="TBT68" s="57"/>
      <c r="TBU68" s="57"/>
      <c r="TBV68" s="57"/>
      <c r="TBW68" s="59" t="s">
        <v>77</v>
      </c>
      <c r="TBX68" s="59" t="s">
        <v>78</v>
      </c>
      <c r="TBY68" s="59" t="s">
        <v>79</v>
      </c>
      <c r="TBZ68" s="59" t="s">
        <v>80</v>
      </c>
      <c r="TCA68" s="59" t="s">
        <v>81</v>
      </c>
      <c r="TCB68" s="59" t="s">
        <v>64</v>
      </c>
      <c r="TCC68" s="59" t="s">
        <v>98</v>
      </c>
      <c r="TCD68" s="59" t="s">
        <v>124</v>
      </c>
      <c r="TCE68" s="59" t="s">
        <v>101</v>
      </c>
      <c r="TCF68" s="56"/>
      <c r="TCG68" s="57"/>
      <c r="TCH68" s="57"/>
      <c r="TCI68" s="57"/>
      <c r="TCJ68" s="57"/>
      <c r="TCK68" s="57"/>
      <c r="TCL68" s="57"/>
      <c r="TCM68" s="59" t="s">
        <v>77</v>
      </c>
      <c r="TCN68" s="59" t="s">
        <v>78</v>
      </c>
      <c r="TCO68" s="59" t="s">
        <v>79</v>
      </c>
      <c r="TCP68" s="59" t="s">
        <v>80</v>
      </c>
      <c r="TCQ68" s="59" t="s">
        <v>81</v>
      </c>
      <c r="TCR68" s="59" t="s">
        <v>64</v>
      </c>
      <c r="TCS68" s="59" t="s">
        <v>98</v>
      </c>
      <c r="TCT68" s="59" t="s">
        <v>124</v>
      </c>
      <c r="TCU68" s="59" t="s">
        <v>101</v>
      </c>
      <c r="TCV68" s="56"/>
      <c r="TCW68" s="57"/>
      <c r="TCX68" s="57"/>
      <c r="TCY68" s="57"/>
      <c r="TCZ68" s="57"/>
      <c r="TDA68" s="57"/>
      <c r="TDB68" s="57"/>
      <c r="TDC68" s="59" t="s">
        <v>77</v>
      </c>
      <c r="TDD68" s="59" t="s">
        <v>78</v>
      </c>
      <c r="TDE68" s="59" t="s">
        <v>79</v>
      </c>
      <c r="TDF68" s="59" t="s">
        <v>80</v>
      </c>
      <c r="TDG68" s="59" t="s">
        <v>81</v>
      </c>
      <c r="TDH68" s="59" t="s">
        <v>64</v>
      </c>
      <c r="TDI68" s="59" t="s">
        <v>98</v>
      </c>
      <c r="TDJ68" s="59" t="s">
        <v>124</v>
      </c>
      <c r="TDK68" s="59" t="s">
        <v>101</v>
      </c>
      <c r="TDL68" s="56"/>
      <c r="TDM68" s="57"/>
      <c r="TDN68" s="57"/>
      <c r="TDO68" s="57"/>
      <c r="TDP68" s="57"/>
      <c r="TDQ68" s="57"/>
      <c r="TDR68" s="57"/>
      <c r="TDS68" s="59" t="s">
        <v>77</v>
      </c>
      <c r="TDT68" s="59" t="s">
        <v>78</v>
      </c>
      <c r="TDU68" s="59" t="s">
        <v>79</v>
      </c>
      <c r="TDV68" s="59" t="s">
        <v>80</v>
      </c>
      <c r="TDW68" s="59" t="s">
        <v>81</v>
      </c>
      <c r="TDX68" s="59" t="s">
        <v>64</v>
      </c>
      <c r="TDY68" s="59" t="s">
        <v>98</v>
      </c>
      <c r="TDZ68" s="59" t="s">
        <v>124</v>
      </c>
      <c r="TEA68" s="59" t="s">
        <v>101</v>
      </c>
      <c r="TEB68" s="56"/>
      <c r="TEC68" s="57"/>
      <c r="TED68" s="57"/>
      <c r="TEE68" s="57"/>
      <c r="TEF68" s="57"/>
      <c r="TEG68" s="57"/>
      <c r="TEH68" s="57"/>
      <c r="TEI68" s="59" t="s">
        <v>77</v>
      </c>
      <c r="TEJ68" s="59" t="s">
        <v>78</v>
      </c>
      <c r="TEK68" s="59" t="s">
        <v>79</v>
      </c>
      <c r="TEL68" s="59" t="s">
        <v>80</v>
      </c>
      <c r="TEM68" s="59" t="s">
        <v>81</v>
      </c>
      <c r="TEN68" s="59" t="s">
        <v>64</v>
      </c>
      <c r="TEO68" s="59" t="s">
        <v>98</v>
      </c>
      <c r="TEP68" s="59" t="s">
        <v>124</v>
      </c>
      <c r="TEQ68" s="59" t="s">
        <v>101</v>
      </c>
      <c r="TER68" s="56"/>
      <c r="TES68" s="57"/>
      <c r="TET68" s="57"/>
      <c r="TEU68" s="57"/>
      <c r="TEV68" s="57"/>
      <c r="TEW68" s="57"/>
      <c r="TEX68" s="57"/>
      <c r="TEY68" s="59" t="s">
        <v>77</v>
      </c>
      <c r="TEZ68" s="59" t="s">
        <v>78</v>
      </c>
      <c r="TFA68" s="59" t="s">
        <v>79</v>
      </c>
      <c r="TFB68" s="59" t="s">
        <v>80</v>
      </c>
      <c r="TFC68" s="59" t="s">
        <v>81</v>
      </c>
      <c r="TFD68" s="59" t="s">
        <v>64</v>
      </c>
      <c r="TFE68" s="59" t="s">
        <v>98</v>
      </c>
      <c r="TFF68" s="59" t="s">
        <v>124</v>
      </c>
      <c r="TFG68" s="59" t="s">
        <v>101</v>
      </c>
      <c r="TFH68" s="56"/>
      <c r="TFI68" s="57"/>
      <c r="TFJ68" s="57"/>
      <c r="TFK68" s="57"/>
      <c r="TFL68" s="57"/>
      <c r="TFM68" s="57"/>
      <c r="TFN68" s="57"/>
      <c r="TFO68" s="59" t="s">
        <v>77</v>
      </c>
      <c r="TFP68" s="59" t="s">
        <v>78</v>
      </c>
      <c r="TFQ68" s="59" t="s">
        <v>79</v>
      </c>
      <c r="TFR68" s="59" t="s">
        <v>80</v>
      </c>
      <c r="TFS68" s="59" t="s">
        <v>81</v>
      </c>
      <c r="TFT68" s="59" t="s">
        <v>64</v>
      </c>
      <c r="TFU68" s="59" t="s">
        <v>98</v>
      </c>
      <c r="TFV68" s="59" t="s">
        <v>124</v>
      </c>
      <c r="TFW68" s="59" t="s">
        <v>101</v>
      </c>
      <c r="TFX68" s="56"/>
      <c r="TFY68" s="57"/>
      <c r="TFZ68" s="57"/>
      <c r="TGA68" s="57"/>
      <c r="TGB68" s="57"/>
      <c r="TGC68" s="57"/>
      <c r="TGD68" s="57"/>
      <c r="TGE68" s="59" t="s">
        <v>77</v>
      </c>
      <c r="TGF68" s="59" t="s">
        <v>78</v>
      </c>
      <c r="TGG68" s="59" t="s">
        <v>79</v>
      </c>
      <c r="TGH68" s="59" t="s">
        <v>80</v>
      </c>
      <c r="TGI68" s="59" t="s">
        <v>81</v>
      </c>
      <c r="TGJ68" s="59" t="s">
        <v>64</v>
      </c>
      <c r="TGK68" s="59" t="s">
        <v>98</v>
      </c>
      <c r="TGL68" s="59" t="s">
        <v>124</v>
      </c>
      <c r="TGM68" s="59" t="s">
        <v>101</v>
      </c>
      <c r="TGN68" s="56"/>
      <c r="TGO68" s="57"/>
      <c r="TGP68" s="57"/>
      <c r="TGQ68" s="57"/>
      <c r="TGR68" s="57"/>
      <c r="TGS68" s="57"/>
      <c r="TGT68" s="57"/>
      <c r="TGU68" s="59" t="s">
        <v>77</v>
      </c>
      <c r="TGV68" s="59" t="s">
        <v>78</v>
      </c>
      <c r="TGW68" s="59" t="s">
        <v>79</v>
      </c>
      <c r="TGX68" s="59" t="s">
        <v>80</v>
      </c>
      <c r="TGY68" s="59" t="s">
        <v>81</v>
      </c>
      <c r="TGZ68" s="59" t="s">
        <v>64</v>
      </c>
      <c r="THA68" s="59" t="s">
        <v>98</v>
      </c>
      <c r="THB68" s="59" t="s">
        <v>124</v>
      </c>
      <c r="THC68" s="59" t="s">
        <v>101</v>
      </c>
      <c r="THD68" s="56"/>
      <c r="THE68" s="57"/>
      <c r="THF68" s="57"/>
      <c r="THG68" s="57"/>
      <c r="THH68" s="57"/>
      <c r="THI68" s="57"/>
      <c r="THJ68" s="57"/>
      <c r="THK68" s="59" t="s">
        <v>77</v>
      </c>
      <c r="THL68" s="59" t="s">
        <v>78</v>
      </c>
      <c r="THM68" s="59" t="s">
        <v>79</v>
      </c>
      <c r="THN68" s="59" t="s">
        <v>80</v>
      </c>
      <c r="THO68" s="59" t="s">
        <v>81</v>
      </c>
      <c r="THP68" s="59" t="s">
        <v>64</v>
      </c>
      <c r="THQ68" s="59" t="s">
        <v>98</v>
      </c>
      <c r="THR68" s="59" t="s">
        <v>124</v>
      </c>
      <c r="THS68" s="59" t="s">
        <v>101</v>
      </c>
      <c r="THT68" s="56"/>
      <c r="THU68" s="57"/>
      <c r="THV68" s="57"/>
      <c r="THW68" s="57"/>
      <c r="THX68" s="57"/>
      <c r="THY68" s="57"/>
      <c r="THZ68" s="57"/>
      <c r="TIA68" s="59" t="s">
        <v>77</v>
      </c>
      <c r="TIB68" s="59" t="s">
        <v>78</v>
      </c>
      <c r="TIC68" s="59" t="s">
        <v>79</v>
      </c>
      <c r="TID68" s="59" t="s">
        <v>80</v>
      </c>
      <c r="TIE68" s="59" t="s">
        <v>81</v>
      </c>
      <c r="TIF68" s="59" t="s">
        <v>64</v>
      </c>
      <c r="TIG68" s="59" t="s">
        <v>98</v>
      </c>
      <c r="TIH68" s="59" t="s">
        <v>124</v>
      </c>
      <c r="TII68" s="59" t="s">
        <v>101</v>
      </c>
      <c r="TIJ68" s="56"/>
      <c r="TIK68" s="57"/>
      <c r="TIL68" s="57"/>
      <c r="TIM68" s="57"/>
      <c r="TIN68" s="57"/>
      <c r="TIO68" s="57"/>
      <c r="TIP68" s="57"/>
      <c r="TIQ68" s="59" t="s">
        <v>77</v>
      </c>
      <c r="TIR68" s="59" t="s">
        <v>78</v>
      </c>
      <c r="TIS68" s="59" t="s">
        <v>79</v>
      </c>
      <c r="TIT68" s="59" t="s">
        <v>80</v>
      </c>
      <c r="TIU68" s="59" t="s">
        <v>81</v>
      </c>
      <c r="TIV68" s="59" t="s">
        <v>64</v>
      </c>
      <c r="TIW68" s="59" t="s">
        <v>98</v>
      </c>
      <c r="TIX68" s="59" t="s">
        <v>124</v>
      </c>
      <c r="TIY68" s="59" t="s">
        <v>101</v>
      </c>
      <c r="TIZ68" s="56"/>
      <c r="TJA68" s="57"/>
      <c r="TJB68" s="57"/>
      <c r="TJC68" s="57"/>
      <c r="TJD68" s="57"/>
      <c r="TJE68" s="57"/>
      <c r="TJF68" s="57"/>
      <c r="TJG68" s="59" t="s">
        <v>77</v>
      </c>
      <c r="TJH68" s="59" t="s">
        <v>78</v>
      </c>
      <c r="TJI68" s="59" t="s">
        <v>79</v>
      </c>
      <c r="TJJ68" s="59" t="s">
        <v>80</v>
      </c>
      <c r="TJK68" s="59" t="s">
        <v>81</v>
      </c>
      <c r="TJL68" s="59" t="s">
        <v>64</v>
      </c>
      <c r="TJM68" s="59" t="s">
        <v>98</v>
      </c>
      <c r="TJN68" s="59" t="s">
        <v>124</v>
      </c>
      <c r="TJO68" s="59" t="s">
        <v>101</v>
      </c>
      <c r="TJP68" s="56"/>
      <c r="TJQ68" s="57"/>
      <c r="TJR68" s="57"/>
      <c r="TJS68" s="57"/>
      <c r="TJT68" s="57"/>
      <c r="TJU68" s="57"/>
      <c r="TJV68" s="57"/>
      <c r="TJW68" s="59" t="s">
        <v>77</v>
      </c>
      <c r="TJX68" s="59" t="s">
        <v>78</v>
      </c>
      <c r="TJY68" s="59" t="s">
        <v>79</v>
      </c>
      <c r="TJZ68" s="59" t="s">
        <v>80</v>
      </c>
      <c r="TKA68" s="59" t="s">
        <v>81</v>
      </c>
      <c r="TKB68" s="59" t="s">
        <v>64</v>
      </c>
      <c r="TKC68" s="59" t="s">
        <v>98</v>
      </c>
      <c r="TKD68" s="59" t="s">
        <v>124</v>
      </c>
      <c r="TKE68" s="59" t="s">
        <v>101</v>
      </c>
      <c r="TKF68" s="56"/>
      <c r="TKG68" s="57"/>
      <c r="TKH68" s="57"/>
      <c r="TKI68" s="57"/>
      <c r="TKJ68" s="57"/>
      <c r="TKK68" s="57"/>
      <c r="TKL68" s="57"/>
      <c r="TKM68" s="59" t="s">
        <v>77</v>
      </c>
      <c r="TKN68" s="59" t="s">
        <v>78</v>
      </c>
      <c r="TKO68" s="59" t="s">
        <v>79</v>
      </c>
      <c r="TKP68" s="59" t="s">
        <v>80</v>
      </c>
      <c r="TKQ68" s="59" t="s">
        <v>81</v>
      </c>
      <c r="TKR68" s="59" t="s">
        <v>64</v>
      </c>
      <c r="TKS68" s="59" t="s">
        <v>98</v>
      </c>
      <c r="TKT68" s="59" t="s">
        <v>124</v>
      </c>
      <c r="TKU68" s="59" t="s">
        <v>101</v>
      </c>
      <c r="TKV68" s="56"/>
      <c r="TKW68" s="57"/>
      <c r="TKX68" s="57"/>
      <c r="TKY68" s="57"/>
      <c r="TKZ68" s="57"/>
      <c r="TLA68" s="57"/>
      <c r="TLB68" s="57"/>
      <c r="TLC68" s="59" t="s">
        <v>77</v>
      </c>
      <c r="TLD68" s="59" t="s">
        <v>78</v>
      </c>
      <c r="TLE68" s="59" t="s">
        <v>79</v>
      </c>
      <c r="TLF68" s="59" t="s">
        <v>80</v>
      </c>
      <c r="TLG68" s="59" t="s">
        <v>81</v>
      </c>
      <c r="TLH68" s="59" t="s">
        <v>64</v>
      </c>
      <c r="TLI68" s="59" t="s">
        <v>98</v>
      </c>
      <c r="TLJ68" s="59" t="s">
        <v>124</v>
      </c>
      <c r="TLK68" s="59" t="s">
        <v>101</v>
      </c>
      <c r="TLL68" s="56"/>
      <c r="TLM68" s="57"/>
      <c r="TLN68" s="57"/>
      <c r="TLO68" s="57"/>
      <c r="TLP68" s="57"/>
      <c r="TLQ68" s="57"/>
      <c r="TLR68" s="57"/>
      <c r="TLS68" s="59" t="s">
        <v>77</v>
      </c>
      <c r="TLT68" s="59" t="s">
        <v>78</v>
      </c>
      <c r="TLU68" s="59" t="s">
        <v>79</v>
      </c>
      <c r="TLV68" s="59" t="s">
        <v>80</v>
      </c>
      <c r="TLW68" s="59" t="s">
        <v>81</v>
      </c>
      <c r="TLX68" s="59" t="s">
        <v>64</v>
      </c>
      <c r="TLY68" s="59" t="s">
        <v>98</v>
      </c>
      <c r="TLZ68" s="59" t="s">
        <v>124</v>
      </c>
      <c r="TMA68" s="59" t="s">
        <v>101</v>
      </c>
      <c r="TMB68" s="56"/>
      <c r="TMC68" s="57"/>
      <c r="TMD68" s="57"/>
      <c r="TME68" s="57"/>
      <c r="TMF68" s="57"/>
      <c r="TMG68" s="57"/>
      <c r="TMH68" s="57"/>
      <c r="TMI68" s="59" t="s">
        <v>77</v>
      </c>
      <c r="TMJ68" s="59" t="s">
        <v>78</v>
      </c>
      <c r="TMK68" s="59" t="s">
        <v>79</v>
      </c>
      <c r="TML68" s="59" t="s">
        <v>80</v>
      </c>
      <c r="TMM68" s="59" t="s">
        <v>81</v>
      </c>
      <c r="TMN68" s="59" t="s">
        <v>64</v>
      </c>
      <c r="TMO68" s="59" t="s">
        <v>98</v>
      </c>
      <c r="TMP68" s="59" t="s">
        <v>124</v>
      </c>
      <c r="TMQ68" s="59" t="s">
        <v>101</v>
      </c>
      <c r="TMR68" s="56"/>
      <c r="TMS68" s="57"/>
      <c r="TMT68" s="57"/>
      <c r="TMU68" s="57"/>
      <c r="TMV68" s="57"/>
      <c r="TMW68" s="57"/>
      <c r="TMX68" s="57"/>
      <c r="TMY68" s="59" t="s">
        <v>77</v>
      </c>
      <c r="TMZ68" s="59" t="s">
        <v>78</v>
      </c>
      <c r="TNA68" s="59" t="s">
        <v>79</v>
      </c>
      <c r="TNB68" s="59" t="s">
        <v>80</v>
      </c>
      <c r="TNC68" s="59" t="s">
        <v>81</v>
      </c>
      <c r="TND68" s="59" t="s">
        <v>64</v>
      </c>
      <c r="TNE68" s="59" t="s">
        <v>98</v>
      </c>
      <c r="TNF68" s="59" t="s">
        <v>124</v>
      </c>
      <c r="TNG68" s="59" t="s">
        <v>101</v>
      </c>
      <c r="TNH68" s="56"/>
      <c r="TNI68" s="57"/>
      <c r="TNJ68" s="57"/>
      <c r="TNK68" s="57"/>
      <c r="TNL68" s="57"/>
      <c r="TNM68" s="57"/>
      <c r="TNN68" s="57"/>
      <c r="TNO68" s="59" t="s">
        <v>77</v>
      </c>
      <c r="TNP68" s="59" t="s">
        <v>78</v>
      </c>
      <c r="TNQ68" s="59" t="s">
        <v>79</v>
      </c>
      <c r="TNR68" s="59" t="s">
        <v>80</v>
      </c>
      <c r="TNS68" s="59" t="s">
        <v>81</v>
      </c>
      <c r="TNT68" s="59" t="s">
        <v>64</v>
      </c>
      <c r="TNU68" s="59" t="s">
        <v>98</v>
      </c>
      <c r="TNV68" s="59" t="s">
        <v>124</v>
      </c>
      <c r="TNW68" s="59" t="s">
        <v>101</v>
      </c>
      <c r="TNX68" s="56"/>
      <c r="TNY68" s="57"/>
      <c r="TNZ68" s="57"/>
      <c r="TOA68" s="57"/>
      <c r="TOB68" s="57"/>
      <c r="TOC68" s="57"/>
      <c r="TOD68" s="57"/>
      <c r="TOE68" s="59" t="s">
        <v>77</v>
      </c>
      <c r="TOF68" s="59" t="s">
        <v>78</v>
      </c>
      <c r="TOG68" s="59" t="s">
        <v>79</v>
      </c>
      <c r="TOH68" s="59" t="s">
        <v>80</v>
      </c>
      <c r="TOI68" s="59" t="s">
        <v>81</v>
      </c>
      <c r="TOJ68" s="59" t="s">
        <v>64</v>
      </c>
      <c r="TOK68" s="59" t="s">
        <v>98</v>
      </c>
      <c r="TOL68" s="59" t="s">
        <v>124</v>
      </c>
      <c r="TOM68" s="59" t="s">
        <v>101</v>
      </c>
      <c r="TON68" s="56"/>
      <c r="TOO68" s="57"/>
      <c r="TOP68" s="57"/>
      <c r="TOQ68" s="57"/>
      <c r="TOR68" s="57"/>
      <c r="TOS68" s="57"/>
      <c r="TOT68" s="57"/>
      <c r="TOU68" s="59" t="s">
        <v>77</v>
      </c>
      <c r="TOV68" s="59" t="s">
        <v>78</v>
      </c>
      <c r="TOW68" s="59" t="s">
        <v>79</v>
      </c>
      <c r="TOX68" s="59" t="s">
        <v>80</v>
      </c>
      <c r="TOY68" s="59" t="s">
        <v>81</v>
      </c>
      <c r="TOZ68" s="59" t="s">
        <v>64</v>
      </c>
      <c r="TPA68" s="59" t="s">
        <v>98</v>
      </c>
      <c r="TPB68" s="59" t="s">
        <v>124</v>
      </c>
      <c r="TPC68" s="59" t="s">
        <v>101</v>
      </c>
      <c r="TPD68" s="56"/>
      <c r="TPE68" s="57"/>
      <c r="TPF68" s="57"/>
      <c r="TPG68" s="57"/>
      <c r="TPH68" s="57"/>
      <c r="TPI68" s="57"/>
      <c r="TPJ68" s="57"/>
      <c r="TPK68" s="59" t="s">
        <v>77</v>
      </c>
      <c r="TPL68" s="59" t="s">
        <v>78</v>
      </c>
      <c r="TPM68" s="59" t="s">
        <v>79</v>
      </c>
      <c r="TPN68" s="59" t="s">
        <v>80</v>
      </c>
      <c r="TPO68" s="59" t="s">
        <v>81</v>
      </c>
      <c r="TPP68" s="59" t="s">
        <v>64</v>
      </c>
      <c r="TPQ68" s="59" t="s">
        <v>98</v>
      </c>
      <c r="TPR68" s="59" t="s">
        <v>124</v>
      </c>
      <c r="TPS68" s="59" t="s">
        <v>101</v>
      </c>
      <c r="TPT68" s="56"/>
      <c r="TPU68" s="57"/>
      <c r="TPV68" s="57"/>
      <c r="TPW68" s="57"/>
      <c r="TPX68" s="57"/>
      <c r="TPY68" s="57"/>
      <c r="TPZ68" s="57"/>
      <c r="TQA68" s="59" t="s">
        <v>77</v>
      </c>
      <c r="TQB68" s="59" t="s">
        <v>78</v>
      </c>
      <c r="TQC68" s="59" t="s">
        <v>79</v>
      </c>
      <c r="TQD68" s="59" t="s">
        <v>80</v>
      </c>
      <c r="TQE68" s="59" t="s">
        <v>81</v>
      </c>
      <c r="TQF68" s="59" t="s">
        <v>64</v>
      </c>
      <c r="TQG68" s="59" t="s">
        <v>98</v>
      </c>
      <c r="TQH68" s="59" t="s">
        <v>124</v>
      </c>
      <c r="TQI68" s="59" t="s">
        <v>101</v>
      </c>
      <c r="TQJ68" s="56"/>
      <c r="TQK68" s="57"/>
      <c r="TQL68" s="57"/>
      <c r="TQM68" s="57"/>
      <c r="TQN68" s="57"/>
      <c r="TQO68" s="57"/>
      <c r="TQP68" s="57"/>
      <c r="TQQ68" s="59" t="s">
        <v>77</v>
      </c>
      <c r="TQR68" s="59" t="s">
        <v>78</v>
      </c>
      <c r="TQS68" s="59" t="s">
        <v>79</v>
      </c>
      <c r="TQT68" s="59" t="s">
        <v>80</v>
      </c>
      <c r="TQU68" s="59" t="s">
        <v>81</v>
      </c>
      <c r="TQV68" s="59" t="s">
        <v>64</v>
      </c>
      <c r="TQW68" s="59" t="s">
        <v>98</v>
      </c>
      <c r="TQX68" s="59" t="s">
        <v>124</v>
      </c>
      <c r="TQY68" s="59" t="s">
        <v>101</v>
      </c>
      <c r="TQZ68" s="56"/>
      <c r="TRA68" s="57"/>
      <c r="TRB68" s="57"/>
      <c r="TRC68" s="57"/>
      <c r="TRD68" s="57"/>
      <c r="TRE68" s="57"/>
      <c r="TRF68" s="57"/>
      <c r="TRG68" s="59" t="s">
        <v>77</v>
      </c>
      <c r="TRH68" s="59" t="s">
        <v>78</v>
      </c>
      <c r="TRI68" s="59" t="s">
        <v>79</v>
      </c>
      <c r="TRJ68" s="59" t="s">
        <v>80</v>
      </c>
      <c r="TRK68" s="59" t="s">
        <v>81</v>
      </c>
      <c r="TRL68" s="59" t="s">
        <v>64</v>
      </c>
      <c r="TRM68" s="59" t="s">
        <v>98</v>
      </c>
      <c r="TRN68" s="59" t="s">
        <v>124</v>
      </c>
      <c r="TRO68" s="59" t="s">
        <v>101</v>
      </c>
      <c r="TRP68" s="56"/>
      <c r="TRQ68" s="57"/>
      <c r="TRR68" s="57"/>
      <c r="TRS68" s="57"/>
      <c r="TRT68" s="57"/>
      <c r="TRU68" s="57"/>
      <c r="TRV68" s="57"/>
      <c r="TRW68" s="59" t="s">
        <v>77</v>
      </c>
      <c r="TRX68" s="59" t="s">
        <v>78</v>
      </c>
      <c r="TRY68" s="59" t="s">
        <v>79</v>
      </c>
      <c r="TRZ68" s="59" t="s">
        <v>80</v>
      </c>
      <c r="TSA68" s="59" t="s">
        <v>81</v>
      </c>
      <c r="TSB68" s="59" t="s">
        <v>64</v>
      </c>
      <c r="TSC68" s="59" t="s">
        <v>98</v>
      </c>
      <c r="TSD68" s="59" t="s">
        <v>124</v>
      </c>
      <c r="TSE68" s="59" t="s">
        <v>101</v>
      </c>
      <c r="TSF68" s="56"/>
      <c r="TSG68" s="57"/>
      <c r="TSH68" s="57"/>
      <c r="TSI68" s="57"/>
      <c r="TSJ68" s="57"/>
      <c r="TSK68" s="57"/>
      <c r="TSL68" s="57"/>
      <c r="TSM68" s="59" t="s">
        <v>77</v>
      </c>
      <c r="TSN68" s="59" t="s">
        <v>78</v>
      </c>
      <c r="TSO68" s="59" t="s">
        <v>79</v>
      </c>
      <c r="TSP68" s="59" t="s">
        <v>80</v>
      </c>
      <c r="TSQ68" s="59" t="s">
        <v>81</v>
      </c>
      <c r="TSR68" s="59" t="s">
        <v>64</v>
      </c>
      <c r="TSS68" s="59" t="s">
        <v>98</v>
      </c>
      <c r="TST68" s="59" t="s">
        <v>124</v>
      </c>
      <c r="TSU68" s="59" t="s">
        <v>101</v>
      </c>
      <c r="TSV68" s="56"/>
      <c r="TSW68" s="57"/>
      <c r="TSX68" s="57"/>
      <c r="TSY68" s="57"/>
      <c r="TSZ68" s="57"/>
      <c r="TTA68" s="57"/>
      <c r="TTB68" s="57"/>
      <c r="TTC68" s="59" t="s">
        <v>77</v>
      </c>
      <c r="TTD68" s="59" t="s">
        <v>78</v>
      </c>
      <c r="TTE68" s="59" t="s">
        <v>79</v>
      </c>
      <c r="TTF68" s="59" t="s">
        <v>80</v>
      </c>
      <c r="TTG68" s="59" t="s">
        <v>81</v>
      </c>
      <c r="TTH68" s="59" t="s">
        <v>64</v>
      </c>
      <c r="TTI68" s="59" t="s">
        <v>98</v>
      </c>
      <c r="TTJ68" s="59" t="s">
        <v>124</v>
      </c>
      <c r="TTK68" s="59" t="s">
        <v>101</v>
      </c>
      <c r="TTL68" s="56"/>
      <c r="TTM68" s="57"/>
      <c r="TTN68" s="57"/>
      <c r="TTO68" s="57"/>
      <c r="TTP68" s="57"/>
      <c r="TTQ68" s="57"/>
      <c r="TTR68" s="57"/>
      <c r="TTS68" s="59" t="s">
        <v>77</v>
      </c>
      <c r="TTT68" s="59" t="s">
        <v>78</v>
      </c>
      <c r="TTU68" s="59" t="s">
        <v>79</v>
      </c>
      <c r="TTV68" s="59" t="s">
        <v>80</v>
      </c>
      <c r="TTW68" s="59" t="s">
        <v>81</v>
      </c>
      <c r="TTX68" s="59" t="s">
        <v>64</v>
      </c>
      <c r="TTY68" s="59" t="s">
        <v>98</v>
      </c>
      <c r="TTZ68" s="59" t="s">
        <v>124</v>
      </c>
      <c r="TUA68" s="59" t="s">
        <v>101</v>
      </c>
      <c r="TUB68" s="56"/>
      <c r="TUC68" s="57"/>
      <c r="TUD68" s="57"/>
      <c r="TUE68" s="57"/>
      <c r="TUF68" s="57"/>
      <c r="TUG68" s="57"/>
      <c r="TUH68" s="57"/>
      <c r="TUI68" s="59" t="s">
        <v>77</v>
      </c>
      <c r="TUJ68" s="59" t="s">
        <v>78</v>
      </c>
      <c r="TUK68" s="59" t="s">
        <v>79</v>
      </c>
      <c r="TUL68" s="59" t="s">
        <v>80</v>
      </c>
      <c r="TUM68" s="59" t="s">
        <v>81</v>
      </c>
      <c r="TUN68" s="59" t="s">
        <v>64</v>
      </c>
      <c r="TUO68" s="59" t="s">
        <v>98</v>
      </c>
      <c r="TUP68" s="59" t="s">
        <v>124</v>
      </c>
      <c r="TUQ68" s="59" t="s">
        <v>101</v>
      </c>
      <c r="TUR68" s="56"/>
      <c r="TUS68" s="57"/>
      <c r="TUT68" s="57"/>
      <c r="TUU68" s="57"/>
      <c r="TUV68" s="57"/>
      <c r="TUW68" s="57"/>
      <c r="TUX68" s="57"/>
      <c r="TUY68" s="59" t="s">
        <v>77</v>
      </c>
      <c r="TUZ68" s="59" t="s">
        <v>78</v>
      </c>
      <c r="TVA68" s="59" t="s">
        <v>79</v>
      </c>
      <c r="TVB68" s="59" t="s">
        <v>80</v>
      </c>
      <c r="TVC68" s="59" t="s">
        <v>81</v>
      </c>
      <c r="TVD68" s="59" t="s">
        <v>64</v>
      </c>
      <c r="TVE68" s="59" t="s">
        <v>98</v>
      </c>
      <c r="TVF68" s="59" t="s">
        <v>124</v>
      </c>
      <c r="TVG68" s="59" t="s">
        <v>101</v>
      </c>
      <c r="TVH68" s="56"/>
      <c r="TVI68" s="57"/>
      <c r="TVJ68" s="57"/>
      <c r="TVK68" s="57"/>
      <c r="TVL68" s="57"/>
      <c r="TVM68" s="57"/>
      <c r="TVN68" s="57"/>
      <c r="TVO68" s="59" t="s">
        <v>77</v>
      </c>
      <c r="TVP68" s="59" t="s">
        <v>78</v>
      </c>
      <c r="TVQ68" s="59" t="s">
        <v>79</v>
      </c>
      <c r="TVR68" s="59" t="s">
        <v>80</v>
      </c>
      <c r="TVS68" s="59" t="s">
        <v>81</v>
      </c>
      <c r="TVT68" s="59" t="s">
        <v>64</v>
      </c>
      <c r="TVU68" s="59" t="s">
        <v>98</v>
      </c>
      <c r="TVV68" s="59" t="s">
        <v>124</v>
      </c>
      <c r="TVW68" s="59" t="s">
        <v>101</v>
      </c>
      <c r="TVX68" s="56"/>
      <c r="TVY68" s="57"/>
      <c r="TVZ68" s="57"/>
      <c r="TWA68" s="57"/>
      <c r="TWB68" s="57"/>
      <c r="TWC68" s="57"/>
      <c r="TWD68" s="57"/>
      <c r="TWE68" s="59" t="s">
        <v>77</v>
      </c>
      <c r="TWF68" s="59" t="s">
        <v>78</v>
      </c>
      <c r="TWG68" s="59" t="s">
        <v>79</v>
      </c>
      <c r="TWH68" s="59" t="s">
        <v>80</v>
      </c>
      <c r="TWI68" s="59" t="s">
        <v>81</v>
      </c>
      <c r="TWJ68" s="59" t="s">
        <v>64</v>
      </c>
      <c r="TWK68" s="59" t="s">
        <v>98</v>
      </c>
      <c r="TWL68" s="59" t="s">
        <v>124</v>
      </c>
      <c r="TWM68" s="59" t="s">
        <v>101</v>
      </c>
      <c r="TWN68" s="56"/>
      <c r="TWO68" s="57"/>
      <c r="TWP68" s="57"/>
      <c r="TWQ68" s="57"/>
      <c r="TWR68" s="57"/>
      <c r="TWS68" s="57"/>
      <c r="TWT68" s="57"/>
      <c r="TWU68" s="59" t="s">
        <v>77</v>
      </c>
      <c r="TWV68" s="59" t="s">
        <v>78</v>
      </c>
      <c r="TWW68" s="59" t="s">
        <v>79</v>
      </c>
      <c r="TWX68" s="59" t="s">
        <v>80</v>
      </c>
      <c r="TWY68" s="59" t="s">
        <v>81</v>
      </c>
      <c r="TWZ68" s="59" t="s">
        <v>64</v>
      </c>
      <c r="TXA68" s="59" t="s">
        <v>98</v>
      </c>
      <c r="TXB68" s="59" t="s">
        <v>124</v>
      </c>
      <c r="TXC68" s="59" t="s">
        <v>101</v>
      </c>
      <c r="TXD68" s="56"/>
      <c r="TXE68" s="57"/>
      <c r="TXF68" s="57"/>
      <c r="TXG68" s="57"/>
      <c r="TXH68" s="57"/>
      <c r="TXI68" s="57"/>
      <c r="TXJ68" s="57"/>
      <c r="TXK68" s="59" t="s">
        <v>77</v>
      </c>
      <c r="TXL68" s="59" t="s">
        <v>78</v>
      </c>
      <c r="TXM68" s="59" t="s">
        <v>79</v>
      </c>
      <c r="TXN68" s="59" t="s">
        <v>80</v>
      </c>
      <c r="TXO68" s="59" t="s">
        <v>81</v>
      </c>
      <c r="TXP68" s="59" t="s">
        <v>64</v>
      </c>
      <c r="TXQ68" s="59" t="s">
        <v>98</v>
      </c>
      <c r="TXR68" s="59" t="s">
        <v>124</v>
      </c>
      <c r="TXS68" s="59" t="s">
        <v>101</v>
      </c>
      <c r="TXT68" s="56"/>
      <c r="TXU68" s="57"/>
      <c r="TXV68" s="57"/>
      <c r="TXW68" s="57"/>
      <c r="TXX68" s="57"/>
      <c r="TXY68" s="57"/>
      <c r="TXZ68" s="57"/>
      <c r="TYA68" s="59" t="s">
        <v>77</v>
      </c>
      <c r="TYB68" s="59" t="s">
        <v>78</v>
      </c>
      <c r="TYC68" s="59" t="s">
        <v>79</v>
      </c>
      <c r="TYD68" s="59" t="s">
        <v>80</v>
      </c>
      <c r="TYE68" s="59" t="s">
        <v>81</v>
      </c>
      <c r="TYF68" s="59" t="s">
        <v>64</v>
      </c>
      <c r="TYG68" s="59" t="s">
        <v>98</v>
      </c>
      <c r="TYH68" s="59" t="s">
        <v>124</v>
      </c>
      <c r="TYI68" s="59" t="s">
        <v>101</v>
      </c>
      <c r="TYJ68" s="56"/>
      <c r="TYK68" s="57"/>
      <c r="TYL68" s="57"/>
      <c r="TYM68" s="57"/>
      <c r="TYN68" s="57"/>
      <c r="TYO68" s="57"/>
      <c r="TYP68" s="57"/>
      <c r="TYQ68" s="59" t="s">
        <v>77</v>
      </c>
      <c r="TYR68" s="59" t="s">
        <v>78</v>
      </c>
      <c r="TYS68" s="59" t="s">
        <v>79</v>
      </c>
      <c r="TYT68" s="59" t="s">
        <v>80</v>
      </c>
      <c r="TYU68" s="59" t="s">
        <v>81</v>
      </c>
      <c r="TYV68" s="59" t="s">
        <v>64</v>
      </c>
      <c r="TYW68" s="59" t="s">
        <v>98</v>
      </c>
      <c r="TYX68" s="59" t="s">
        <v>124</v>
      </c>
      <c r="TYY68" s="59" t="s">
        <v>101</v>
      </c>
      <c r="TYZ68" s="56"/>
      <c r="TZA68" s="57"/>
      <c r="TZB68" s="57"/>
      <c r="TZC68" s="57"/>
      <c r="TZD68" s="57"/>
      <c r="TZE68" s="57"/>
      <c r="TZF68" s="57"/>
      <c r="TZG68" s="59" t="s">
        <v>77</v>
      </c>
      <c r="TZH68" s="59" t="s">
        <v>78</v>
      </c>
      <c r="TZI68" s="59" t="s">
        <v>79</v>
      </c>
      <c r="TZJ68" s="59" t="s">
        <v>80</v>
      </c>
      <c r="TZK68" s="59" t="s">
        <v>81</v>
      </c>
      <c r="TZL68" s="59" t="s">
        <v>64</v>
      </c>
      <c r="TZM68" s="59" t="s">
        <v>98</v>
      </c>
      <c r="TZN68" s="59" t="s">
        <v>124</v>
      </c>
      <c r="TZO68" s="59" t="s">
        <v>101</v>
      </c>
      <c r="TZP68" s="56"/>
      <c r="TZQ68" s="57"/>
      <c r="TZR68" s="57"/>
      <c r="TZS68" s="57"/>
      <c r="TZT68" s="57"/>
      <c r="TZU68" s="57"/>
      <c r="TZV68" s="57"/>
      <c r="TZW68" s="59" t="s">
        <v>77</v>
      </c>
      <c r="TZX68" s="59" t="s">
        <v>78</v>
      </c>
      <c r="TZY68" s="59" t="s">
        <v>79</v>
      </c>
      <c r="TZZ68" s="59" t="s">
        <v>80</v>
      </c>
      <c r="UAA68" s="59" t="s">
        <v>81</v>
      </c>
      <c r="UAB68" s="59" t="s">
        <v>64</v>
      </c>
      <c r="UAC68" s="59" t="s">
        <v>98</v>
      </c>
      <c r="UAD68" s="59" t="s">
        <v>124</v>
      </c>
      <c r="UAE68" s="59" t="s">
        <v>101</v>
      </c>
      <c r="UAF68" s="56"/>
      <c r="UAG68" s="57"/>
      <c r="UAH68" s="57"/>
      <c r="UAI68" s="57"/>
      <c r="UAJ68" s="57"/>
      <c r="UAK68" s="57"/>
      <c r="UAL68" s="57"/>
      <c r="UAM68" s="59" t="s">
        <v>77</v>
      </c>
      <c r="UAN68" s="59" t="s">
        <v>78</v>
      </c>
      <c r="UAO68" s="59" t="s">
        <v>79</v>
      </c>
      <c r="UAP68" s="59" t="s">
        <v>80</v>
      </c>
      <c r="UAQ68" s="59" t="s">
        <v>81</v>
      </c>
      <c r="UAR68" s="59" t="s">
        <v>64</v>
      </c>
      <c r="UAS68" s="59" t="s">
        <v>98</v>
      </c>
      <c r="UAT68" s="59" t="s">
        <v>124</v>
      </c>
      <c r="UAU68" s="59" t="s">
        <v>101</v>
      </c>
      <c r="UAV68" s="56"/>
      <c r="UAW68" s="57"/>
      <c r="UAX68" s="57"/>
      <c r="UAY68" s="57"/>
      <c r="UAZ68" s="57"/>
      <c r="UBA68" s="57"/>
      <c r="UBB68" s="57"/>
      <c r="UBC68" s="59" t="s">
        <v>77</v>
      </c>
      <c r="UBD68" s="59" t="s">
        <v>78</v>
      </c>
      <c r="UBE68" s="59" t="s">
        <v>79</v>
      </c>
      <c r="UBF68" s="59" t="s">
        <v>80</v>
      </c>
      <c r="UBG68" s="59" t="s">
        <v>81</v>
      </c>
      <c r="UBH68" s="59" t="s">
        <v>64</v>
      </c>
      <c r="UBI68" s="59" t="s">
        <v>98</v>
      </c>
      <c r="UBJ68" s="59" t="s">
        <v>124</v>
      </c>
      <c r="UBK68" s="59" t="s">
        <v>101</v>
      </c>
      <c r="UBL68" s="56"/>
      <c r="UBM68" s="57"/>
      <c r="UBN68" s="57"/>
      <c r="UBO68" s="57"/>
      <c r="UBP68" s="57"/>
      <c r="UBQ68" s="57"/>
      <c r="UBR68" s="57"/>
      <c r="UBS68" s="59" t="s">
        <v>77</v>
      </c>
      <c r="UBT68" s="59" t="s">
        <v>78</v>
      </c>
      <c r="UBU68" s="59" t="s">
        <v>79</v>
      </c>
      <c r="UBV68" s="59" t="s">
        <v>80</v>
      </c>
      <c r="UBW68" s="59" t="s">
        <v>81</v>
      </c>
      <c r="UBX68" s="59" t="s">
        <v>64</v>
      </c>
      <c r="UBY68" s="59" t="s">
        <v>98</v>
      </c>
      <c r="UBZ68" s="59" t="s">
        <v>124</v>
      </c>
      <c r="UCA68" s="59" t="s">
        <v>101</v>
      </c>
      <c r="UCB68" s="56"/>
      <c r="UCC68" s="57"/>
      <c r="UCD68" s="57"/>
      <c r="UCE68" s="57"/>
      <c r="UCF68" s="57"/>
      <c r="UCG68" s="57"/>
      <c r="UCH68" s="57"/>
      <c r="UCI68" s="59" t="s">
        <v>77</v>
      </c>
      <c r="UCJ68" s="59" t="s">
        <v>78</v>
      </c>
      <c r="UCK68" s="59" t="s">
        <v>79</v>
      </c>
      <c r="UCL68" s="59" t="s">
        <v>80</v>
      </c>
      <c r="UCM68" s="59" t="s">
        <v>81</v>
      </c>
      <c r="UCN68" s="59" t="s">
        <v>64</v>
      </c>
      <c r="UCO68" s="59" t="s">
        <v>98</v>
      </c>
      <c r="UCP68" s="59" t="s">
        <v>124</v>
      </c>
      <c r="UCQ68" s="59" t="s">
        <v>101</v>
      </c>
      <c r="UCR68" s="56"/>
      <c r="UCS68" s="57"/>
      <c r="UCT68" s="57"/>
      <c r="UCU68" s="57"/>
      <c r="UCV68" s="57"/>
      <c r="UCW68" s="57"/>
      <c r="UCX68" s="57"/>
      <c r="UCY68" s="59" t="s">
        <v>77</v>
      </c>
      <c r="UCZ68" s="59" t="s">
        <v>78</v>
      </c>
      <c r="UDA68" s="59" t="s">
        <v>79</v>
      </c>
      <c r="UDB68" s="59" t="s">
        <v>80</v>
      </c>
      <c r="UDC68" s="59" t="s">
        <v>81</v>
      </c>
      <c r="UDD68" s="59" t="s">
        <v>64</v>
      </c>
      <c r="UDE68" s="59" t="s">
        <v>98</v>
      </c>
      <c r="UDF68" s="59" t="s">
        <v>124</v>
      </c>
      <c r="UDG68" s="59" t="s">
        <v>101</v>
      </c>
      <c r="UDH68" s="56"/>
      <c r="UDI68" s="57"/>
      <c r="UDJ68" s="57"/>
      <c r="UDK68" s="57"/>
      <c r="UDL68" s="57"/>
      <c r="UDM68" s="57"/>
      <c r="UDN68" s="57"/>
      <c r="UDO68" s="59" t="s">
        <v>77</v>
      </c>
      <c r="UDP68" s="59" t="s">
        <v>78</v>
      </c>
      <c r="UDQ68" s="59" t="s">
        <v>79</v>
      </c>
      <c r="UDR68" s="59" t="s">
        <v>80</v>
      </c>
      <c r="UDS68" s="59" t="s">
        <v>81</v>
      </c>
      <c r="UDT68" s="59" t="s">
        <v>64</v>
      </c>
      <c r="UDU68" s="59" t="s">
        <v>98</v>
      </c>
      <c r="UDV68" s="59" t="s">
        <v>124</v>
      </c>
      <c r="UDW68" s="59" t="s">
        <v>101</v>
      </c>
      <c r="UDX68" s="56"/>
      <c r="UDY68" s="57"/>
      <c r="UDZ68" s="57"/>
      <c r="UEA68" s="57"/>
      <c r="UEB68" s="57"/>
      <c r="UEC68" s="57"/>
      <c r="UED68" s="57"/>
      <c r="UEE68" s="59" t="s">
        <v>77</v>
      </c>
      <c r="UEF68" s="59" t="s">
        <v>78</v>
      </c>
      <c r="UEG68" s="59" t="s">
        <v>79</v>
      </c>
      <c r="UEH68" s="59" t="s">
        <v>80</v>
      </c>
      <c r="UEI68" s="59" t="s">
        <v>81</v>
      </c>
      <c r="UEJ68" s="59" t="s">
        <v>64</v>
      </c>
      <c r="UEK68" s="59" t="s">
        <v>98</v>
      </c>
      <c r="UEL68" s="59" t="s">
        <v>124</v>
      </c>
      <c r="UEM68" s="59" t="s">
        <v>101</v>
      </c>
      <c r="UEN68" s="56"/>
      <c r="UEO68" s="57"/>
      <c r="UEP68" s="57"/>
      <c r="UEQ68" s="57"/>
      <c r="UER68" s="57"/>
      <c r="UES68" s="57"/>
      <c r="UET68" s="57"/>
      <c r="UEU68" s="59" t="s">
        <v>77</v>
      </c>
      <c r="UEV68" s="59" t="s">
        <v>78</v>
      </c>
      <c r="UEW68" s="59" t="s">
        <v>79</v>
      </c>
      <c r="UEX68" s="59" t="s">
        <v>80</v>
      </c>
      <c r="UEY68" s="59" t="s">
        <v>81</v>
      </c>
      <c r="UEZ68" s="59" t="s">
        <v>64</v>
      </c>
      <c r="UFA68" s="59" t="s">
        <v>98</v>
      </c>
      <c r="UFB68" s="59" t="s">
        <v>124</v>
      </c>
      <c r="UFC68" s="59" t="s">
        <v>101</v>
      </c>
      <c r="UFD68" s="56"/>
      <c r="UFE68" s="57"/>
      <c r="UFF68" s="57"/>
      <c r="UFG68" s="57"/>
      <c r="UFH68" s="57"/>
      <c r="UFI68" s="57"/>
      <c r="UFJ68" s="57"/>
      <c r="UFK68" s="59" t="s">
        <v>77</v>
      </c>
      <c r="UFL68" s="59" t="s">
        <v>78</v>
      </c>
      <c r="UFM68" s="59" t="s">
        <v>79</v>
      </c>
      <c r="UFN68" s="59" t="s">
        <v>80</v>
      </c>
      <c r="UFO68" s="59" t="s">
        <v>81</v>
      </c>
      <c r="UFP68" s="59" t="s">
        <v>64</v>
      </c>
      <c r="UFQ68" s="59" t="s">
        <v>98</v>
      </c>
      <c r="UFR68" s="59" t="s">
        <v>124</v>
      </c>
      <c r="UFS68" s="59" t="s">
        <v>101</v>
      </c>
      <c r="UFT68" s="56"/>
      <c r="UFU68" s="57"/>
      <c r="UFV68" s="57"/>
      <c r="UFW68" s="57"/>
      <c r="UFX68" s="57"/>
      <c r="UFY68" s="57"/>
      <c r="UFZ68" s="57"/>
      <c r="UGA68" s="59" t="s">
        <v>77</v>
      </c>
      <c r="UGB68" s="59" t="s">
        <v>78</v>
      </c>
      <c r="UGC68" s="59" t="s">
        <v>79</v>
      </c>
      <c r="UGD68" s="59" t="s">
        <v>80</v>
      </c>
      <c r="UGE68" s="59" t="s">
        <v>81</v>
      </c>
      <c r="UGF68" s="59" t="s">
        <v>64</v>
      </c>
      <c r="UGG68" s="59" t="s">
        <v>98</v>
      </c>
      <c r="UGH68" s="59" t="s">
        <v>124</v>
      </c>
      <c r="UGI68" s="59" t="s">
        <v>101</v>
      </c>
      <c r="UGJ68" s="56"/>
      <c r="UGK68" s="57"/>
      <c r="UGL68" s="57"/>
      <c r="UGM68" s="57"/>
      <c r="UGN68" s="57"/>
      <c r="UGO68" s="57"/>
      <c r="UGP68" s="57"/>
      <c r="UGQ68" s="59" t="s">
        <v>77</v>
      </c>
      <c r="UGR68" s="59" t="s">
        <v>78</v>
      </c>
      <c r="UGS68" s="59" t="s">
        <v>79</v>
      </c>
      <c r="UGT68" s="59" t="s">
        <v>80</v>
      </c>
      <c r="UGU68" s="59" t="s">
        <v>81</v>
      </c>
      <c r="UGV68" s="59" t="s">
        <v>64</v>
      </c>
      <c r="UGW68" s="59" t="s">
        <v>98</v>
      </c>
      <c r="UGX68" s="59" t="s">
        <v>124</v>
      </c>
      <c r="UGY68" s="59" t="s">
        <v>101</v>
      </c>
      <c r="UGZ68" s="56"/>
      <c r="UHA68" s="57"/>
      <c r="UHB68" s="57"/>
      <c r="UHC68" s="57"/>
      <c r="UHD68" s="57"/>
      <c r="UHE68" s="57"/>
      <c r="UHF68" s="57"/>
      <c r="UHG68" s="59" t="s">
        <v>77</v>
      </c>
      <c r="UHH68" s="59" t="s">
        <v>78</v>
      </c>
      <c r="UHI68" s="59" t="s">
        <v>79</v>
      </c>
      <c r="UHJ68" s="59" t="s">
        <v>80</v>
      </c>
      <c r="UHK68" s="59" t="s">
        <v>81</v>
      </c>
      <c r="UHL68" s="59" t="s">
        <v>64</v>
      </c>
      <c r="UHM68" s="59" t="s">
        <v>98</v>
      </c>
      <c r="UHN68" s="59" t="s">
        <v>124</v>
      </c>
      <c r="UHO68" s="59" t="s">
        <v>101</v>
      </c>
      <c r="UHP68" s="56"/>
      <c r="UHQ68" s="57"/>
      <c r="UHR68" s="57"/>
      <c r="UHS68" s="57"/>
      <c r="UHT68" s="57"/>
      <c r="UHU68" s="57"/>
      <c r="UHV68" s="57"/>
      <c r="UHW68" s="59" t="s">
        <v>77</v>
      </c>
      <c r="UHX68" s="59" t="s">
        <v>78</v>
      </c>
      <c r="UHY68" s="59" t="s">
        <v>79</v>
      </c>
      <c r="UHZ68" s="59" t="s">
        <v>80</v>
      </c>
      <c r="UIA68" s="59" t="s">
        <v>81</v>
      </c>
      <c r="UIB68" s="59" t="s">
        <v>64</v>
      </c>
      <c r="UIC68" s="59" t="s">
        <v>98</v>
      </c>
      <c r="UID68" s="59" t="s">
        <v>124</v>
      </c>
      <c r="UIE68" s="59" t="s">
        <v>101</v>
      </c>
      <c r="UIF68" s="56"/>
      <c r="UIG68" s="57"/>
      <c r="UIH68" s="57"/>
      <c r="UII68" s="57"/>
      <c r="UIJ68" s="57"/>
      <c r="UIK68" s="57"/>
      <c r="UIL68" s="57"/>
      <c r="UIM68" s="59" t="s">
        <v>77</v>
      </c>
      <c r="UIN68" s="59" t="s">
        <v>78</v>
      </c>
      <c r="UIO68" s="59" t="s">
        <v>79</v>
      </c>
      <c r="UIP68" s="59" t="s">
        <v>80</v>
      </c>
      <c r="UIQ68" s="59" t="s">
        <v>81</v>
      </c>
      <c r="UIR68" s="59" t="s">
        <v>64</v>
      </c>
      <c r="UIS68" s="59" t="s">
        <v>98</v>
      </c>
      <c r="UIT68" s="59" t="s">
        <v>124</v>
      </c>
      <c r="UIU68" s="59" t="s">
        <v>101</v>
      </c>
      <c r="UIV68" s="56"/>
      <c r="UIW68" s="57"/>
      <c r="UIX68" s="57"/>
      <c r="UIY68" s="57"/>
      <c r="UIZ68" s="57"/>
      <c r="UJA68" s="57"/>
      <c r="UJB68" s="57"/>
      <c r="UJC68" s="59" t="s">
        <v>77</v>
      </c>
      <c r="UJD68" s="59" t="s">
        <v>78</v>
      </c>
      <c r="UJE68" s="59" t="s">
        <v>79</v>
      </c>
      <c r="UJF68" s="59" t="s">
        <v>80</v>
      </c>
      <c r="UJG68" s="59" t="s">
        <v>81</v>
      </c>
      <c r="UJH68" s="59" t="s">
        <v>64</v>
      </c>
      <c r="UJI68" s="59" t="s">
        <v>98</v>
      </c>
      <c r="UJJ68" s="59" t="s">
        <v>124</v>
      </c>
      <c r="UJK68" s="59" t="s">
        <v>101</v>
      </c>
      <c r="UJL68" s="56"/>
      <c r="UJM68" s="57"/>
      <c r="UJN68" s="57"/>
      <c r="UJO68" s="57"/>
      <c r="UJP68" s="57"/>
      <c r="UJQ68" s="57"/>
      <c r="UJR68" s="57"/>
      <c r="UJS68" s="59" t="s">
        <v>77</v>
      </c>
      <c r="UJT68" s="59" t="s">
        <v>78</v>
      </c>
      <c r="UJU68" s="59" t="s">
        <v>79</v>
      </c>
      <c r="UJV68" s="59" t="s">
        <v>80</v>
      </c>
      <c r="UJW68" s="59" t="s">
        <v>81</v>
      </c>
      <c r="UJX68" s="59" t="s">
        <v>64</v>
      </c>
      <c r="UJY68" s="59" t="s">
        <v>98</v>
      </c>
      <c r="UJZ68" s="59" t="s">
        <v>124</v>
      </c>
      <c r="UKA68" s="59" t="s">
        <v>101</v>
      </c>
      <c r="UKB68" s="56"/>
      <c r="UKC68" s="57"/>
      <c r="UKD68" s="57"/>
      <c r="UKE68" s="57"/>
      <c r="UKF68" s="57"/>
      <c r="UKG68" s="57"/>
      <c r="UKH68" s="57"/>
      <c r="UKI68" s="59" t="s">
        <v>77</v>
      </c>
      <c r="UKJ68" s="59" t="s">
        <v>78</v>
      </c>
      <c r="UKK68" s="59" t="s">
        <v>79</v>
      </c>
      <c r="UKL68" s="59" t="s">
        <v>80</v>
      </c>
      <c r="UKM68" s="59" t="s">
        <v>81</v>
      </c>
      <c r="UKN68" s="59" t="s">
        <v>64</v>
      </c>
      <c r="UKO68" s="59" t="s">
        <v>98</v>
      </c>
      <c r="UKP68" s="59" t="s">
        <v>124</v>
      </c>
      <c r="UKQ68" s="59" t="s">
        <v>101</v>
      </c>
      <c r="UKR68" s="56"/>
      <c r="UKS68" s="57"/>
      <c r="UKT68" s="57"/>
      <c r="UKU68" s="57"/>
      <c r="UKV68" s="57"/>
      <c r="UKW68" s="57"/>
      <c r="UKX68" s="57"/>
      <c r="UKY68" s="59" t="s">
        <v>77</v>
      </c>
      <c r="UKZ68" s="59" t="s">
        <v>78</v>
      </c>
      <c r="ULA68" s="59" t="s">
        <v>79</v>
      </c>
      <c r="ULB68" s="59" t="s">
        <v>80</v>
      </c>
      <c r="ULC68" s="59" t="s">
        <v>81</v>
      </c>
      <c r="ULD68" s="59" t="s">
        <v>64</v>
      </c>
      <c r="ULE68" s="59" t="s">
        <v>98</v>
      </c>
      <c r="ULF68" s="59" t="s">
        <v>124</v>
      </c>
      <c r="ULG68" s="59" t="s">
        <v>101</v>
      </c>
      <c r="ULH68" s="56"/>
      <c r="ULI68" s="57"/>
      <c r="ULJ68" s="57"/>
      <c r="ULK68" s="57"/>
      <c r="ULL68" s="57"/>
      <c r="ULM68" s="57"/>
      <c r="ULN68" s="57"/>
      <c r="ULO68" s="59" t="s">
        <v>77</v>
      </c>
      <c r="ULP68" s="59" t="s">
        <v>78</v>
      </c>
      <c r="ULQ68" s="59" t="s">
        <v>79</v>
      </c>
      <c r="ULR68" s="59" t="s">
        <v>80</v>
      </c>
      <c r="ULS68" s="59" t="s">
        <v>81</v>
      </c>
      <c r="ULT68" s="59" t="s">
        <v>64</v>
      </c>
      <c r="ULU68" s="59" t="s">
        <v>98</v>
      </c>
      <c r="ULV68" s="59" t="s">
        <v>124</v>
      </c>
      <c r="ULW68" s="59" t="s">
        <v>101</v>
      </c>
      <c r="ULX68" s="56"/>
      <c r="ULY68" s="57"/>
      <c r="ULZ68" s="57"/>
      <c r="UMA68" s="57"/>
      <c r="UMB68" s="57"/>
      <c r="UMC68" s="57"/>
      <c r="UMD68" s="57"/>
      <c r="UME68" s="59" t="s">
        <v>77</v>
      </c>
      <c r="UMF68" s="59" t="s">
        <v>78</v>
      </c>
      <c r="UMG68" s="59" t="s">
        <v>79</v>
      </c>
      <c r="UMH68" s="59" t="s">
        <v>80</v>
      </c>
      <c r="UMI68" s="59" t="s">
        <v>81</v>
      </c>
      <c r="UMJ68" s="59" t="s">
        <v>64</v>
      </c>
      <c r="UMK68" s="59" t="s">
        <v>98</v>
      </c>
      <c r="UML68" s="59" t="s">
        <v>124</v>
      </c>
      <c r="UMM68" s="59" t="s">
        <v>101</v>
      </c>
      <c r="UMN68" s="56"/>
      <c r="UMO68" s="57"/>
      <c r="UMP68" s="57"/>
      <c r="UMQ68" s="57"/>
      <c r="UMR68" s="57"/>
      <c r="UMS68" s="57"/>
      <c r="UMT68" s="57"/>
      <c r="UMU68" s="59" t="s">
        <v>77</v>
      </c>
      <c r="UMV68" s="59" t="s">
        <v>78</v>
      </c>
      <c r="UMW68" s="59" t="s">
        <v>79</v>
      </c>
      <c r="UMX68" s="59" t="s">
        <v>80</v>
      </c>
      <c r="UMY68" s="59" t="s">
        <v>81</v>
      </c>
      <c r="UMZ68" s="59" t="s">
        <v>64</v>
      </c>
      <c r="UNA68" s="59" t="s">
        <v>98</v>
      </c>
      <c r="UNB68" s="59" t="s">
        <v>124</v>
      </c>
      <c r="UNC68" s="59" t="s">
        <v>101</v>
      </c>
      <c r="UND68" s="56"/>
      <c r="UNE68" s="57"/>
      <c r="UNF68" s="57"/>
      <c r="UNG68" s="57"/>
      <c r="UNH68" s="57"/>
      <c r="UNI68" s="57"/>
      <c r="UNJ68" s="57"/>
      <c r="UNK68" s="59" t="s">
        <v>77</v>
      </c>
      <c r="UNL68" s="59" t="s">
        <v>78</v>
      </c>
      <c r="UNM68" s="59" t="s">
        <v>79</v>
      </c>
      <c r="UNN68" s="59" t="s">
        <v>80</v>
      </c>
      <c r="UNO68" s="59" t="s">
        <v>81</v>
      </c>
      <c r="UNP68" s="59" t="s">
        <v>64</v>
      </c>
      <c r="UNQ68" s="59" t="s">
        <v>98</v>
      </c>
      <c r="UNR68" s="59" t="s">
        <v>124</v>
      </c>
      <c r="UNS68" s="59" t="s">
        <v>101</v>
      </c>
      <c r="UNT68" s="56"/>
      <c r="UNU68" s="57"/>
      <c r="UNV68" s="57"/>
      <c r="UNW68" s="57"/>
      <c r="UNX68" s="57"/>
      <c r="UNY68" s="57"/>
      <c r="UNZ68" s="57"/>
      <c r="UOA68" s="59" t="s">
        <v>77</v>
      </c>
      <c r="UOB68" s="59" t="s">
        <v>78</v>
      </c>
      <c r="UOC68" s="59" t="s">
        <v>79</v>
      </c>
      <c r="UOD68" s="59" t="s">
        <v>80</v>
      </c>
      <c r="UOE68" s="59" t="s">
        <v>81</v>
      </c>
      <c r="UOF68" s="59" t="s">
        <v>64</v>
      </c>
      <c r="UOG68" s="59" t="s">
        <v>98</v>
      </c>
      <c r="UOH68" s="59" t="s">
        <v>124</v>
      </c>
      <c r="UOI68" s="59" t="s">
        <v>101</v>
      </c>
      <c r="UOJ68" s="56"/>
      <c r="UOK68" s="57"/>
      <c r="UOL68" s="57"/>
      <c r="UOM68" s="57"/>
      <c r="UON68" s="57"/>
      <c r="UOO68" s="57"/>
      <c r="UOP68" s="57"/>
      <c r="UOQ68" s="59" t="s">
        <v>77</v>
      </c>
      <c r="UOR68" s="59" t="s">
        <v>78</v>
      </c>
      <c r="UOS68" s="59" t="s">
        <v>79</v>
      </c>
      <c r="UOT68" s="59" t="s">
        <v>80</v>
      </c>
      <c r="UOU68" s="59" t="s">
        <v>81</v>
      </c>
      <c r="UOV68" s="59" t="s">
        <v>64</v>
      </c>
      <c r="UOW68" s="59" t="s">
        <v>98</v>
      </c>
      <c r="UOX68" s="59" t="s">
        <v>124</v>
      </c>
      <c r="UOY68" s="59" t="s">
        <v>101</v>
      </c>
      <c r="UOZ68" s="56"/>
      <c r="UPA68" s="57"/>
      <c r="UPB68" s="57"/>
      <c r="UPC68" s="57"/>
      <c r="UPD68" s="57"/>
      <c r="UPE68" s="57"/>
      <c r="UPF68" s="57"/>
      <c r="UPG68" s="59" t="s">
        <v>77</v>
      </c>
      <c r="UPH68" s="59" t="s">
        <v>78</v>
      </c>
      <c r="UPI68" s="59" t="s">
        <v>79</v>
      </c>
      <c r="UPJ68" s="59" t="s">
        <v>80</v>
      </c>
      <c r="UPK68" s="59" t="s">
        <v>81</v>
      </c>
      <c r="UPL68" s="59" t="s">
        <v>64</v>
      </c>
      <c r="UPM68" s="59" t="s">
        <v>98</v>
      </c>
      <c r="UPN68" s="59" t="s">
        <v>124</v>
      </c>
      <c r="UPO68" s="59" t="s">
        <v>101</v>
      </c>
      <c r="UPP68" s="56"/>
      <c r="UPQ68" s="57"/>
      <c r="UPR68" s="57"/>
      <c r="UPS68" s="57"/>
      <c r="UPT68" s="57"/>
      <c r="UPU68" s="57"/>
      <c r="UPV68" s="57"/>
      <c r="UPW68" s="59" t="s">
        <v>77</v>
      </c>
      <c r="UPX68" s="59" t="s">
        <v>78</v>
      </c>
      <c r="UPY68" s="59" t="s">
        <v>79</v>
      </c>
      <c r="UPZ68" s="59" t="s">
        <v>80</v>
      </c>
      <c r="UQA68" s="59" t="s">
        <v>81</v>
      </c>
      <c r="UQB68" s="59" t="s">
        <v>64</v>
      </c>
      <c r="UQC68" s="59" t="s">
        <v>98</v>
      </c>
      <c r="UQD68" s="59" t="s">
        <v>124</v>
      </c>
      <c r="UQE68" s="59" t="s">
        <v>101</v>
      </c>
      <c r="UQF68" s="56"/>
      <c r="UQG68" s="57"/>
      <c r="UQH68" s="57"/>
      <c r="UQI68" s="57"/>
      <c r="UQJ68" s="57"/>
      <c r="UQK68" s="57"/>
      <c r="UQL68" s="57"/>
      <c r="UQM68" s="59" t="s">
        <v>77</v>
      </c>
      <c r="UQN68" s="59" t="s">
        <v>78</v>
      </c>
      <c r="UQO68" s="59" t="s">
        <v>79</v>
      </c>
      <c r="UQP68" s="59" t="s">
        <v>80</v>
      </c>
      <c r="UQQ68" s="59" t="s">
        <v>81</v>
      </c>
      <c r="UQR68" s="59" t="s">
        <v>64</v>
      </c>
      <c r="UQS68" s="59" t="s">
        <v>98</v>
      </c>
      <c r="UQT68" s="59" t="s">
        <v>124</v>
      </c>
      <c r="UQU68" s="59" t="s">
        <v>101</v>
      </c>
      <c r="UQV68" s="56"/>
      <c r="UQW68" s="57"/>
      <c r="UQX68" s="57"/>
      <c r="UQY68" s="57"/>
      <c r="UQZ68" s="57"/>
      <c r="URA68" s="57"/>
      <c r="URB68" s="57"/>
      <c r="URC68" s="59" t="s">
        <v>77</v>
      </c>
      <c r="URD68" s="59" t="s">
        <v>78</v>
      </c>
      <c r="URE68" s="59" t="s">
        <v>79</v>
      </c>
      <c r="URF68" s="59" t="s">
        <v>80</v>
      </c>
      <c r="URG68" s="59" t="s">
        <v>81</v>
      </c>
      <c r="URH68" s="59" t="s">
        <v>64</v>
      </c>
      <c r="URI68" s="59" t="s">
        <v>98</v>
      </c>
      <c r="URJ68" s="59" t="s">
        <v>124</v>
      </c>
      <c r="URK68" s="59" t="s">
        <v>101</v>
      </c>
      <c r="URL68" s="56"/>
      <c r="URM68" s="57"/>
      <c r="URN68" s="57"/>
      <c r="URO68" s="57"/>
      <c r="URP68" s="57"/>
      <c r="URQ68" s="57"/>
      <c r="URR68" s="57"/>
      <c r="URS68" s="59" t="s">
        <v>77</v>
      </c>
      <c r="URT68" s="59" t="s">
        <v>78</v>
      </c>
      <c r="URU68" s="59" t="s">
        <v>79</v>
      </c>
      <c r="URV68" s="59" t="s">
        <v>80</v>
      </c>
      <c r="URW68" s="59" t="s">
        <v>81</v>
      </c>
      <c r="URX68" s="59" t="s">
        <v>64</v>
      </c>
      <c r="URY68" s="59" t="s">
        <v>98</v>
      </c>
      <c r="URZ68" s="59" t="s">
        <v>124</v>
      </c>
      <c r="USA68" s="59" t="s">
        <v>101</v>
      </c>
      <c r="USB68" s="56"/>
      <c r="USC68" s="57"/>
      <c r="USD68" s="57"/>
      <c r="USE68" s="57"/>
      <c r="USF68" s="57"/>
      <c r="USG68" s="57"/>
      <c r="USH68" s="57"/>
      <c r="USI68" s="59" t="s">
        <v>77</v>
      </c>
      <c r="USJ68" s="59" t="s">
        <v>78</v>
      </c>
      <c r="USK68" s="59" t="s">
        <v>79</v>
      </c>
      <c r="USL68" s="59" t="s">
        <v>80</v>
      </c>
      <c r="USM68" s="59" t="s">
        <v>81</v>
      </c>
      <c r="USN68" s="59" t="s">
        <v>64</v>
      </c>
      <c r="USO68" s="59" t="s">
        <v>98</v>
      </c>
      <c r="USP68" s="59" t="s">
        <v>124</v>
      </c>
      <c r="USQ68" s="59" t="s">
        <v>101</v>
      </c>
      <c r="USR68" s="56"/>
      <c r="USS68" s="57"/>
      <c r="UST68" s="57"/>
      <c r="USU68" s="57"/>
      <c r="USV68" s="57"/>
      <c r="USW68" s="57"/>
      <c r="USX68" s="57"/>
      <c r="USY68" s="59" t="s">
        <v>77</v>
      </c>
      <c r="USZ68" s="59" t="s">
        <v>78</v>
      </c>
      <c r="UTA68" s="59" t="s">
        <v>79</v>
      </c>
      <c r="UTB68" s="59" t="s">
        <v>80</v>
      </c>
      <c r="UTC68" s="59" t="s">
        <v>81</v>
      </c>
      <c r="UTD68" s="59" t="s">
        <v>64</v>
      </c>
      <c r="UTE68" s="59" t="s">
        <v>98</v>
      </c>
      <c r="UTF68" s="59" t="s">
        <v>124</v>
      </c>
      <c r="UTG68" s="59" t="s">
        <v>101</v>
      </c>
      <c r="UTH68" s="56"/>
      <c r="UTI68" s="57"/>
      <c r="UTJ68" s="57"/>
      <c r="UTK68" s="57"/>
      <c r="UTL68" s="57"/>
      <c r="UTM68" s="57"/>
      <c r="UTN68" s="57"/>
      <c r="UTO68" s="59" t="s">
        <v>77</v>
      </c>
      <c r="UTP68" s="59" t="s">
        <v>78</v>
      </c>
      <c r="UTQ68" s="59" t="s">
        <v>79</v>
      </c>
      <c r="UTR68" s="59" t="s">
        <v>80</v>
      </c>
      <c r="UTS68" s="59" t="s">
        <v>81</v>
      </c>
      <c r="UTT68" s="59" t="s">
        <v>64</v>
      </c>
      <c r="UTU68" s="59" t="s">
        <v>98</v>
      </c>
      <c r="UTV68" s="59" t="s">
        <v>124</v>
      </c>
      <c r="UTW68" s="59" t="s">
        <v>101</v>
      </c>
      <c r="UTX68" s="56"/>
      <c r="UTY68" s="57"/>
      <c r="UTZ68" s="57"/>
      <c r="UUA68" s="57"/>
      <c r="UUB68" s="57"/>
      <c r="UUC68" s="57"/>
      <c r="UUD68" s="57"/>
      <c r="UUE68" s="59" t="s">
        <v>77</v>
      </c>
      <c r="UUF68" s="59" t="s">
        <v>78</v>
      </c>
      <c r="UUG68" s="59" t="s">
        <v>79</v>
      </c>
      <c r="UUH68" s="59" t="s">
        <v>80</v>
      </c>
      <c r="UUI68" s="59" t="s">
        <v>81</v>
      </c>
      <c r="UUJ68" s="59" t="s">
        <v>64</v>
      </c>
      <c r="UUK68" s="59" t="s">
        <v>98</v>
      </c>
      <c r="UUL68" s="59" t="s">
        <v>124</v>
      </c>
      <c r="UUM68" s="59" t="s">
        <v>101</v>
      </c>
      <c r="UUN68" s="56"/>
      <c r="UUO68" s="57"/>
      <c r="UUP68" s="57"/>
      <c r="UUQ68" s="57"/>
      <c r="UUR68" s="57"/>
      <c r="UUS68" s="57"/>
      <c r="UUT68" s="57"/>
      <c r="UUU68" s="59" t="s">
        <v>77</v>
      </c>
      <c r="UUV68" s="59" t="s">
        <v>78</v>
      </c>
      <c r="UUW68" s="59" t="s">
        <v>79</v>
      </c>
      <c r="UUX68" s="59" t="s">
        <v>80</v>
      </c>
      <c r="UUY68" s="59" t="s">
        <v>81</v>
      </c>
      <c r="UUZ68" s="59" t="s">
        <v>64</v>
      </c>
      <c r="UVA68" s="59" t="s">
        <v>98</v>
      </c>
      <c r="UVB68" s="59" t="s">
        <v>124</v>
      </c>
      <c r="UVC68" s="59" t="s">
        <v>101</v>
      </c>
      <c r="UVD68" s="56"/>
      <c r="UVE68" s="57"/>
      <c r="UVF68" s="57"/>
      <c r="UVG68" s="57"/>
      <c r="UVH68" s="57"/>
      <c r="UVI68" s="57"/>
      <c r="UVJ68" s="57"/>
      <c r="UVK68" s="59" t="s">
        <v>77</v>
      </c>
      <c r="UVL68" s="59" t="s">
        <v>78</v>
      </c>
      <c r="UVM68" s="59" t="s">
        <v>79</v>
      </c>
      <c r="UVN68" s="59" t="s">
        <v>80</v>
      </c>
      <c r="UVO68" s="59" t="s">
        <v>81</v>
      </c>
      <c r="UVP68" s="59" t="s">
        <v>64</v>
      </c>
      <c r="UVQ68" s="59" t="s">
        <v>98</v>
      </c>
      <c r="UVR68" s="59" t="s">
        <v>124</v>
      </c>
      <c r="UVS68" s="59" t="s">
        <v>101</v>
      </c>
      <c r="UVT68" s="56"/>
      <c r="UVU68" s="57"/>
      <c r="UVV68" s="57"/>
      <c r="UVW68" s="57"/>
      <c r="UVX68" s="57"/>
      <c r="UVY68" s="57"/>
      <c r="UVZ68" s="57"/>
      <c r="UWA68" s="59" t="s">
        <v>77</v>
      </c>
      <c r="UWB68" s="59" t="s">
        <v>78</v>
      </c>
      <c r="UWC68" s="59" t="s">
        <v>79</v>
      </c>
      <c r="UWD68" s="59" t="s">
        <v>80</v>
      </c>
      <c r="UWE68" s="59" t="s">
        <v>81</v>
      </c>
      <c r="UWF68" s="59" t="s">
        <v>64</v>
      </c>
      <c r="UWG68" s="59" t="s">
        <v>98</v>
      </c>
      <c r="UWH68" s="59" t="s">
        <v>124</v>
      </c>
      <c r="UWI68" s="59" t="s">
        <v>101</v>
      </c>
      <c r="UWJ68" s="56"/>
      <c r="UWK68" s="57"/>
      <c r="UWL68" s="57"/>
      <c r="UWM68" s="57"/>
      <c r="UWN68" s="57"/>
      <c r="UWO68" s="57"/>
      <c r="UWP68" s="57"/>
      <c r="UWQ68" s="59" t="s">
        <v>77</v>
      </c>
      <c r="UWR68" s="59" t="s">
        <v>78</v>
      </c>
      <c r="UWS68" s="59" t="s">
        <v>79</v>
      </c>
      <c r="UWT68" s="59" t="s">
        <v>80</v>
      </c>
      <c r="UWU68" s="59" t="s">
        <v>81</v>
      </c>
      <c r="UWV68" s="59" t="s">
        <v>64</v>
      </c>
      <c r="UWW68" s="59" t="s">
        <v>98</v>
      </c>
      <c r="UWX68" s="59" t="s">
        <v>124</v>
      </c>
      <c r="UWY68" s="59" t="s">
        <v>101</v>
      </c>
      <c r="UWZ68" s="56"/>
      <c r="UXA68" s="57"/>
      <c r="UXB68" s="57"/>
      <c r="UXC68" s="57"/>
      <c r="UXD68" s="57"/>
      <c r="UXE68" s="57"/>
      <c r="UXF68" s="57"/>
      <c r="UXG68" s="59" t="s">
        <v>77</v>
      </c>
      <c r="UXH68" s="59" t="s">
        <v>78</v>
      </c>
      <c r="UXI68" s="59" t="s">
        <v>79</v>
      </c>
      <c r="UXJ68" s="59" t="s">
        <v>80</v>
      </c>
      <c r="UXK68" s="59" t="s">
        <v>81</v>
      </c>
      <c r="UXL68" s="59" t="s">
        <v>64</v>
      </c>
      <c r="UXM68" s="59" t="s">
        <v>98</v>
      </c>
      <c r="UXN68" s="59" t="s">
        <v>124</v>
      </c>
      <c r="UXO68" s="59" t="s">
        <v>101</v>
      </c>
      <c r="UXP68" s="56"/>
      <c r="UXQ68" s="57"/>
      <c r="UXR68" s="57"/>
      <c r="UXS68" s="57"/>
      <c r="UXT68" s="57"/>
      <c r="UXU68" s="57"/>
      <c r="UXV68" s="57"/>
      <c r="UXW68" s="59" t="s">
        <v>77</v>
      </c>
      <c r="UXX68" s="59" t="s">
        <v>78</v>
      </c>
      <c r="UXY68" s="59" t="s">
        <v>79</v>
      </c>
      <c r="UXZ68" s="59" t="s">
        <v>80</v>
      </c>
      <c r="UYA68" s="59" t="s">
        <v>81</v>
      </c>
      <c r="UYB68" s="59" t="s">
        <v>64</v>
      </c>
      <c r="UYC68" s="59" t="s">
        <v>98</v>
      </c>
      <c r="UYD68" s="59" t="s">
        <v>124</v>
      </c>
      <c r="UYE68" s="59" t="s">
        <v>101</v>
      </c>
      <c r="UYF68" s="56"/>
      <c r="UYG68" s="57"/>
      <c r="UYH68" s="57"/>
      <c r="UYI68" s="57"/>
      <c r="UYJ68" s="57"/>
      <c r="UYK68" s="57"/>
      <c r="UYL68" s="57"/>
      <c r="UYM68" s="59" t="s">
        <v>77</v>
      </c>
      <c r="UYN68" s="59" t="s">
        <v>78</v>
      </c>
      <c r="UYO68" s="59" t="s">
        <v>79</v>
      </c>
      <c r="UYP68" s="59" t="s">
        <v>80</v>
      </c>
      <c r="UYQ68" s="59" t="s">
        <v>81</v>
      </c>
      <c r="UYR68" s="59" t="s">
        <v>64</v>
      </c>
      <c r="UYS68" s="59" t="s">
        <v>98</v>
      </c>
      <c r="UYT68" s="59" t="s">
        <v>124</v>
      </c>
      <c r="UYU68" s="59" t="s">
        <v>101</v>
      </c>
      <c r="UYV68" s="56"/>
      <c r="UYW68" s="57"/>
      <c r="UYX68" s="57"/>
      <c r="UYY68" s="57"/>
      <c r="UYZ68" s="57"/>
      <c r="UZA68" s="57"/>
      <c r="UZB68" s="57"/>
      <c r="UZC68" s="59" t="s">
        <v>77</v>
      </c>
      <c r="UZD68" s="59" t="s">
        <v>78</v>
      </c>
      <c r="UZE68" s="59" t="s">
        <v>79</v>
      </c>
      <c r="UZF68" s="59" t="s">
        <v>80</v>
      </c>
      <c r="UZG68" s="59" t="s">
        <v>81</v>
      </c>
      <c r="UZH68" s="59" t="s">
        <v>64</v>
      </c>
      <c r="UZI68" s="59" t="s">
        <v>98</v>
      </c>
      <c r="UZJ68" s="59" t="s">
        <v>124</v>
      </c>
      <c r="UZK68" s="59" t="s">
        <v>101</v>
      </c>
      <c r="UZL68" s="56"/>
      <c r="UZM68" s="57"/>
      <c r="UZN68" s="57"/>
      <c r="UZO68" s="57"/>
      <c r="UZP68" s="57"/>
      <c r="UZQ68" s="57"/>
      <c r="UZR68" s="57"/>
      <c r="UZS68" s="59" t="s">
        <v>77</v>
      </c>
      <c r="UZT68" s="59" t="s">
        <v>78</v>
      </c>
      <c r="UZU68" s="59" t="s">
        <v>79</v>
      </c>
      <c r="UZV68" s="59" t="s">
        <v>80</v>
      </c>
      <c r="UZW68" s="59" t="s">
        <v>81</v>
      </c>
      <c r="UZX68" s="59" t="s">
        <v>64</v>
      </c>
      <c r="UZY68" s="59" t="s">
        <v>98</v>
      </c>
      <c r="UZZ68" s="59" t="s">
        <v>124</v>
      </c>
      <c r="VAA68" s="59" t="s">
        <v>101</v>
      </c>
      <c r="VAB68" s="56"/>
      <c r="VAC68" s="57"/>
      <c r="VAD68" s="57"/>
      <c r="VAE68" s="57"/>
      <c r="VAF68" s="57"/>
      <c r="VAG68" s="57"/>
      <c r="VAH68" s="57"/>
      <c r="VAI68" s="59" t="s">
        <v>77</v>
      </c>
      <c r="VAJ68" s="59" t="s">
        <v>78</v>
      </c>
      <c r="VAK68" s="59" t="s">
        <v>79</v>
      </c>
      <c r="VAL68" s="59" t="s">
        <v>80</v>
      </c>
      <c r="VAM68" s="59" t="s">
        <v>81</v>
      </c>
      <c r="VAN68" s="59" t="s">
        <v>64</v>
      </c>
      <c r="VAO68" s="59" t="s">
        <v>98</v>
      </c>
      <c r="VAP68" s="59" t="s">
        <v>124</v>
      </c>
      <c r="VAQ68" s="59" t="s">
        <v>101</v>
      </c>
      <c r="VAR68" s="56"/>
      <c r="VAS68" s="57"/>
      <c r="VAT68" s="57"/>
      <c r="VAU68" s="57"/>
      <c r="VAV68" s="57"/>
      <c r="VAW68" s="57"/>
      <c r="VAX68" s="57"/>
      <c r="VAY68" s="59" t="s">
        <v>77</v>
      </c>
      <c r="VAZ68" s="59" t="s">
        <v>78</v>
      </c>
      <c r="VBA68" s="59" t="s">
        <v>79</v>
      </c>
      <c r="VBB68" s="59" t="s">
        <v>80</v>
      </c>
      <c r="VBC68" s="59" t="s">
        <v>81</v>
      </c>
      <c r="VBD68" s="59" t="s">
        <v>64</v>
      </c>
      <c r="VBE68" s="59" t="s">
        <v>98</v>
      </c>
      <c r="VBF68" s="59" t="s">
        <v>124</v>
      </c>
      <c r="VBG68" s="59" t="s">
        <v>101</v>
      </c>
      <c r="VBH68" s="56"/>
      <c r="VBI68" s="57"/>
      <c r="VBJ68" s="57"/>
      <c r="VBK68" s="57"/>
      <c r="VBL68" s="57"/>
      <c r="VBM68" s="57"/>
      <c r="VBN68" s="57"/>
      <c r="VBO68" s="59" t="s">
        <v>77</v>
      </c>
      <c r="VBP68" s="59" t="s">
        <v>78</v>
      </c>
      <c r="VBQ68" s="59" t="s">
        <v>79</v>
      </c>
      <c r="VBR68" s="59" t="s">
        <v>80</v>
      </c>
      <c r="VBS68" s="59" t="s">
        <v>81</v>
      </c>
      <c r="VBT68" s="59" t="s">
        <v>64</v>
      </c>
      <c r="VBU68" s="59" t="s">
        <v>98</v>
      </c>
      <c r="VBV68" s="59" t="s">
        <v>124</v>
      </c>
      <c r="VBW68" s="59" t="s">
        <v>101</v>
      </c>
      <c r="VBX68" s="56"/>
      <c r="VBY68" s="57"/>
      <c r="VBZ68" s="57"/>
      <c r="VCA68" s="57"/>
      <c r="VCB68" s="57"/>
      <c r="VCC68" s="57"/>
      <c r="VCD68" s="57"/>
      <c r="VCE68" s="59" t="s">
        <v>77</v>
      </c>
      <c r="VCF68" s="59" t="s">
        <v>78</v>
      </c>
      <c r="VCG68" s="59" t="s">
        <v>79</v>
      </c>
      <c r="VCH68" s="59" t="s">
        <v>80</v>
      </c>
      <c r="VCI68" s="59" t="s">
        <v>81</v>
      </c>
      <c r="VCJ68" s="59" t="s">
        <v>64</v>
      </c>
      <c r="VCK68" s="59" t="s">
        <v>98</v>
      </c>
      <c r="VCL68" s="59" t="s">
        <v>124</v>
      </c>
      <c r="VCM68" s="59" t="s">
        <v>101</v>
      </c>
      <c r="VCN68" s="56"/>
      <c r="VCO68" s="57"/>
      <c r="VCP68" s="57"/>
      <c r="VCQ68" s="57"/>
      <c r="VCR68" s="57"/>
      <c r="VCS68" s="57"/>
      <c r="VCT68" s="57"/>
      <c r="VCU68" s="59" t="s">
        <v>77</v>
      </c>
      <c r="VCV68" s="59" t="s">
        <v>78</v>
      </c>
      <c r="VCW68" s="59" t="s">
        <v>79</v>
      </c>
      <c r="VCX68" s="59" t="s">
        <v>80</v>
      </c>
      <c r="VCY68" s="59" t="s">
        <v>81</v>
      </c>
      <c r="VCZ68" s="59" t="s">
        <v>64</v>
      </c>
      <c r="VDA68" s="59" t="s">
        <v>98</v>
      </c>
      <c r="VDB68" s="59" t="s">
        <v>124</v>
      </c>
      <c r="VDC68" s="59" t="s">
        <v>101</v>
      </c>
      <c r="VDD68" s="56"/>
      <c r="VDE68" s="57"/>
      <c r="VDF68" s="57"/>
      <c r="VDG68" s="57"/>
      <c r="VDH68" s="57"/>
      <c r="VDI68" s="57"/>
      <c r="VDJ68" s="57"/>
      <c r="VDK68" s="59" t="s">
        <v>77</v>
      </c>
      <c r="VDL68" s="59" t="s">
        <v>78</v>
      </c>
      <c r="VDM68" s="59" t="s">
        <v>79</v>
      </c>
      <c r="VDN68" s="59" t="s">
        <v>80</v>
      </c>
      <c r="VDO68" s="59" t="s">
        <v>81</v>
      </c>
      <c r="VDP68" s="59" t="s">
        <v>64</v>
      </c>
      <c r="VDQ68" s="59" t="s">
        <v>98</v>
      </c>
      <c r="VDR68" s="59" t="s">
        <v>124</v>
      </c>
      <c r="VDS68" s="59" t="s">
        <v>101</v>
      </c>
      <c r="VDT68" s="56"/>
      <c r="VDU68" s="57"/>
      <c r="VDV68" s="57"/>
      <c r="VDW68" s="57"/>
      <c r="VDX68" s="57"/>
      <c r="VDY68" s="57"/>
      <c r="VDZ68" s="57"/>
      <c r="VEA68" s="59" t="s">
        <v>77</v>
      </c>
      <c r="VEB68" s="59" t="s">
        <v>78</v>
      </c>
      <c r="VEC68" s="59" t="s">
        <v>79</v>
      </c>
      <c r="VED68" s="59" t="s">
        <v>80</v>
      </c>
      <c r="VEE68" s="59" t="s">
        <v>81</v>
      </c>
      <c r="VEF68" s="59" t="s">
        <v>64</v>
      </c>
      <c r="VEG68" s="59" t="s">
        <v>98</v>
      </c>
      <c r="VEH68" s="59" t="s">
        <v>124</v>
      </c>
      <c r="VEI68" s="59" t="s">
        <v>101</v>
      </c>
      <c r="VEJ68" s="56"/>
      <c r="VEK68" s="57"/>
      <c r="VEL68" s="57"/>
      <c r="VEM68" s="57"/>
      <c r="VEN68" s="57"/>
      <c r="VEO68" s="57"/>
      <c r="VEP68" s="57"/>
      <c r="VEQ68" s="59" t="s">
        <v>77</v>
      </c>
      <c r="VER68" s="59" t="s">
        <v>78</v>
      </c>
      <c r="VES68" s="59" t="s">
        <v>79</v>
      </c>
      <c r="VET68" s="59" t="s">
        <v>80</v>
      </c>
      <c r="VEU68" s="59" t="s">
        <v>81</v>
      </c>
      <c r="VEV68" s="59" t="s">
        <v>64</v>
      </c>
      <c r="VEW68" s="59" t="s">
        <v>98</v>
      </c>
      <c r="VEX68" s="59" t="s">
        <v>124</v>
      </c>
      <c r="VEY68" s="59" t="s">
        <v>101</v>
      </c>
      <c r="VEZ68" s="56"/>
      <c r="VFA68" s="57"/>
      <c r="VFB68" s="57"/>
      <c r="VFC68" s="57"/>
      <c r="VFD68" s="57"/>
      <c r="VFE68" s="57"/>
      <c r="VFF68" s="57"/>
      <c r="VFG68" s="59" t="s">
        <v>77</v>
      </c>
      <c r="VFH68" s="59" t="s">
        <v>78</v>
      </c>
      <c r="VFI68" s="59" t="s">
        <v>79</v>
      </c>
      <c r="VFJ68" s="59" t="s">
        <v>80</v>
      </c>
      <c r="VFK68" s="59" t="s">
        <v>81</v>
      </c>
      <c r="VFL68" s="59" t="s">
        <v>64</v>
      </c>
      <c r="VFM68" s="59" t="s">
        <v>98</v>
      </c>
      <c r="VFN68" s="59" t="s">
        <v>124</v>
      </c>
      <c r="VFO68" s="59" t="s">
        <v>101</v>
      </c>
      <c r="VFP68" s="56"/>
      <c r="VFQ68" s="57"/>
      <c r="VFR68" s="57"/>
      <c r="VFS68" s="57"/>
      <c r="VFT68" s="57"/>
      <c r="VFU68" s="57"/>
      <c r="VFV68" s="57"/>
      <c r="VFW68" s="59" t="s">
        <v>77</v>
      </c>
      <c r="VFX68" s="59" t="s">
        <v>78</v>
      </c>
      <c r="VFY68" s="59" t="s">
        <v>79</v>
      </c>
      <c r="VFZ68" s="59" t="s">
        <v>80</v>
      </c>
      <c r="VGA68" s="59" t="s">
        <v>81</v>
      </c>
      <c r="VGB68" s="59" t="s">
        <v>64</v>
      </c>
      <c r="VGC68" s="59" t="s">
        <v>98</v>
      </c>
      <c r="VGD68" s="59" t="s">
        <v>124</v>
      </c>
      <c r="VGE68" s="59" t="s">
        <v>101</v>
      </c>
      <c r="VGF68" s="56"/>
      <c r="VGG68" s="57"/>
      <c r="VGH68" s="57"/>
      <c r="VGI68" s="57"/>
      <c r="VGJ68" s="57"/>
      <c r="VGK68" s="57"/>
      <c r="VGL68" s="57"/>
      <c r="VGM68" s="59" t="s">
        <v>77</v>
      </c>
      <c r="VGN68" s="59" t="s">
        <v>78</v>
      </c>
      <c r="VGO68" s="59" t="s">
        <v>79</v>
      </c>
      <c r="VGP68" s="59" t="s">
        <v>80</v>
      </c>
      <c r="VGQ68" s="59" t="s">
        <v>81</v>
      </c>
      <c r="VGR68" s="59" t="s">
        <v>64</v>
      </c>
      <c r="VGS68" s="59" t="s">
        <v>98</v>
      </c>
      <c r="VGT68" s="59" t="s">
        <v>124</v>
      </c>
      <c r="VGU68" s="59" t="s">
        <v>101</v>
      </c>
      <c r="VGV68" s="56"/>
      <c r="VGW68" s="57"/>
      <c r="VGX68" s="57"/>
      <c r="VGY68" s="57"/>
      <c r="VGZ68" s="57"/>
      <c r="VHA68" s="57"/>
      <c r="VHB68" s="57"/>
      <c r="VHC68" s="59" t="s">
        <v>77</v>
      </c>
      <c r="VHD68" s="59" t="s">
        <v>78</v>
      </c>
      <c r="VHE68" s="59" t="s">
        <v>79</v>
      </c>
      <c r="VHF68" s="59" t="s">
        <v>80</v>
      </c>
      <c r="VHG68" s="59" t="s">
        <v>81</v>
      </c>
      <c r="VHH68" s="59" t="s">
        <v>64</v>
      </c>
      <c r="VHI68" s="59" t="s">
        <v>98</v>
      </c>
      <c r="VHJ68" s="59" t="s">
        <v>124</v>
      </c>
      <c r="VHK68" s="59" t="s">
        <v>101</v>
      </c>
      <c r="VHL68" s="56"/>
      <c r="VHM68" s="57"/>
      <c r="VHN68" s="57"/>
      <c r="VHO68" s="57"/>
      <c r="VHP68" s="57"/>
      <c r="VHQ68" s="57"/>
      <c r="VHR68" s="57"/>
      <c r="VHS68" s="59" t="s">
        <v>77</v>
      </c>
      <c r="VHT68" s="59" t="s">
        <v>78</v>
      </c>
      <c r="VHU68" s="59" t="s">
        <v>79</v>
      </c>
      <c r="VHV68" s="59" t="s">
        <v>80</v>
      </c>
      <c r="VHW68" s="59" t="s">
        <v>81</v>
      </c>
      <c r="VHX68" s="59" t="s">
        <v>64</v>
      </c>
      <c r="VHY68" s="59" t="s">
        <v>98</v>
      </c>
      <c r="VHZ68" s="59" t="s">
        <v>124</v>
      </c>
      <c r="VIA68" s="59" t="s">
        <v>101</v>
      </c>
      <c r="VIB68" s="56"/>
      <c r="VIC68" s="57"/>
      <c r="VID68" s="57"/>
      <c r="VIE68" s="57"/>
      <c r="VIF68" s="57"/>
      <c r="VIG68" s="57"/>
      <c r="VIH68" s="57"/>
      <c r="VII68" s="59" t="s">
        <v>77</v>
      </c>
      <c r="VIJ68" s="59" t="s">
        <v>78</v>
      </c>
      <c r="VIK68" s="59" t="s">
        <v>79</v>
      </c>
      <c r="VIL68" s="59" t="s">
        <v>80</v>
      </c>
      <c r="VIM68" s="59" t="s">
        <v>81</v>
      </c>
      <c r="VIN68" s="59" t="s">
        <v>64</v>
      </c>
      <c r="VIO68" s="59" t="s">
        <v>98</v>
      </c>
      <c r="VIP68" s="59" t="s">
        <v>124</v>
      </c>
      <c r="VIQ68" s="59" t="s">
        <v>101</v>
      </c>
      <c r="VIR68" s="56"/>
      <c r="VIS68" s="57"/>
      <c r="VIT68" s="57"/>
      <c r="VIU68" s="57"/>
      <c r="VIV68" s="57"/>
      <c r="VIW68" s="57"/>
      <c r="VIX68" s="57"/>
      <c r="VIY68" s="59" t="s">
        <v>77</v>
      </c>
      <c r="VIZ68" s="59" t="s">
        <v>78</v>
      </c>
      <c r="VJA68" s="59" t="s">
        <v>79</v>
      </c>
      <c r="VJB68" s="59" t="s">
        <v>80</v>
      </c>
      <c r="VJC68" s="59" t="s">
        <v>81</v>
      </c>
      <c r="VJD68" s="59" t="s">
        <v>64</v>
      </c>
      <c r="VJE68" s="59" t="s">
        <v>98</v>
      </c>
      <c r="VJF68" s="59" t="s">
        <v>124</v>
      </c>
      <c r="VJG68" s="59" t="s">
        <v>101</v>
      </c>
      <c r="VJH68" s="56"/>
      <c r="VJI68" s="57"/>
      <c r="VJJ68" s="57"/>
      <c r="VJK68" s="57"/>
      <c r="VJL68" s="57"/>
      <c r="VJM68" s="57"/>
      <c r="VJN68" s="57"/>
      <c r="VJO68" s="59" t="s">
        <v>77</v>
      </c>
      <c r="VJP68" s="59" t="s">
        <v>78</v>
      </c>
      <c r="VJQ68" s="59" t="s">
        <v>79</v>
      </c>
      <c r="VJR68" s="59" t="s">
        <v>80</v>
      </c>
      <c r="VJS68" s="59" t="s">
        <v>81</v>
      </c>
      <c r="VJT68" s="59" t="s">
        <v>64</v>
      </c>
      <c r="VJU68" s="59" t="s">
        <v>98</v>
      </c>
      <c r="VJV68" s="59" t="s">
        <v>124</v>
      </c>
      <c r="VJW68" s="59" t="s">
        <v>101</v>
      </c>
      <c r="VJX68" s="56"/>
      <c r="VJY68" s="57"/>
      <c r="VJZ68" s="57"/>
      <c r="VKA68" s="57"/>
      <c r="VKB68" s="57"/>
      <c r="VKC68" s="57"/>
      <c r="VKD68" s="57"/>
      <c r="VKE68" s="59" t="s">
        <v>77</v>
      </c>
      <c r="VKF68" s="59" t="s">
        <v>78</v>
      </c>
      <c r="VKG68" s="59" t="s">
        <v>79</v>
      </c>
      <c r="VKH68" s="59" t="s">
        <v>80</v>
      </c>
      <c r="VKI68" s="59" t="s">
        <v>81</v>
      </c>
      <c r="VKJ68" s="59" t="s">
        <v>64</v>
      </c>
      <c r="VKK68" s="59" t="s">
        <v>98</v>
      </c>
      <c r="VKL68" s="59" t="s">
        <v>124</v>
      </c>
      <c r="VKM68" s="59" t="s">
        <v>101</v>
      </c>
      <c r="VKN68" s="56"/>
      <c r="VKO68" s="57"/>
      <c r="VKP68" s="57"/>
      <c r="VKQ68" s="57"/>
      <c r="VKR68" s="57"/>
      <c r="VKS68" s="57"/>
      <c r="VKT68" s="57"/>
      <c r="VKU68" s="59" t="s">
        <v>77</v>
      </c>
      <c r="VKV68" s="59" t="s">
        <v>78</v>
      </c>
      <c r="VKW68" s="59" t="s">
        <v>79</v>
      </c>
      <c r="VKX68" s="59" t="s">
        <v>80</v>
      </c>
      <c r="VKY68" s="59" t="s">
        <v>81</v>
      </c>
      <c r="VKZ68" s="59" t="s">
        <v>64</v>
      </c>
      <c r="VLA68" s="59" t="s">
        <v>98</v>
      </c>
      <c r="VLB68" s="59" t="s">
        <v>124</v>
      </c>
      <c r="VLC68" s="59" t="s">
        <v>101</v>
      </c>
      <c r="VLD68" s="56"/>
      <c r="VLE68" s="57"/>
      <c r="VLF68" s="57"/>
      <c r="VLG68" s="57"/>
      <c r="VLH68" s="57"/>
      <c r="VLI68" s="57"/>
      <c r="VLJ68" s="57"/>
      <c r="VLK68" s="59" t="s">
        <v>77</v>
      </c>
      <c r="VLL68" s="59" t="s">
        <v>78</v>
      </c>
      <c r="VLM68" s="59" t="s">
        <v>79</v>
      </c>
      <c r="VLN68" s="59" t="s">
        <v>80</v>
      </c>
      <c r="VLO68" s="59" t="s">
        <v>81</v>
      </c>
      <c r="VLP68" s="59" t="s">
        <v>64</v>
      </c>
      <c r="VLQ68" s="59" t="s">
        <v>98</v>
      </c>
      <c r="VLR68" s="59" t="s">
        <v>124</v>
      </c>
      <c r="VLS68" s="59" t="s">
        <v>101</v>
      </c>
      <c r="VLT68" s="56"/>
      <c r="VLU68" s="57"/>
      <c r="VLV68" s="57"/>
      <c r="VLW68" s="57"/>
      <c r="VLX68" s="57"/>
      <c r="VLY68" s="57"/>
      <c r="VLZ68" s="57"/>
      <c r="VMA68" s="59" t="s">
        <v>77</v>
      </c>
      <c r="VMB68" s="59" t="s">
        <v>78</v>
      </c>
      <c r="VMC68" s="59" t="s">
        <v>79</v>
      </c>
      <c r="VMD68" s="59" t="s">
        <v>80</v>
      </c>
      <c r="VME68" s="59" t="s">
        <v>81</v>
      </c>
      <c r="VMF68" s="59" t="s">
        <v>64</v>
      </c>
      <c r="VMG68" s="59" t="s">
        <v>98</v>
      </c>
      <c r="VMH68" s="59" t="s">
        <v>124</v>
      </c>
      <c r="VMI68" s="59" t="s">
        <v>101</v>
      </c>
      <c r="VMJ68" s="56"/>
      <c r="VMK68" s="57"/>
      <c r="VML68" s="57"/>
      <c r="VMM68" s="57"/>
      <c r="VMN68" s="57"/>
      <c r="VMO68" s="57"/>
      <c r="VMP68" s="57"/>
      <c r="VMQ68" s="59" t="s">
        <v>77</v>
      </c>
      <c r="VMR68" s="59" t="s">
        <v>78</v>
      </c>
      <c r="VMS68" s="59" t="s">
        <v>79</v>
      </c>
      <c r="VMT68" s="59" t="s">
        <v>80</v>
      </c>
      <c r="VMU68" s="59" t="s">
        <v>81</v>
      </c>
      <c r="VMV68" s="59" t="s">
        <v>64</v>
      </c>
      <c r="VMW68" s="59" t="s">
        <v>98</v>
      </c>
      <c r="VMX68" s="59" t="s">
        <v>124</v>
      </c>
      <c r="VMY68" s="59" t="s">
        <v>101</v>
      </c>
      <c r="VMZ68" s="56"/>
      <c r="VNA68" s="57"/>
      <c r="VNB68" s="57"/>
      <c r="VNC68" s="57"/>
      <c r="VND68" s="57"/>
      <c r="VNE68" s="57"/>
      <c r="VNF68" s="57"/>
      <c r="VNG68" s="59" t="s">
        <v>77</v>
      </c>
      <c r="VNH68" s="59" t="s">
        <v>78</v>
      </c>
      <c r="VNI68" s="59" t="s">
        <v>79</v>
      </c>
      <c r="VNJ68" s="59" t="s">
        <v>80</v>
      </c>
      <c r="VNK68" s="59" t="s">
        <v>81</v>
      </c>
      <c r="VNL68" s="59" t="s">
        <v>64</v>
      </c>
      <c r="VNM68" s="59" t="s">
        <v>98</v>
      </c>
      <c r="VNN68" s="59" t="s">
        <v>124</v>
      </c>
      <c r="VNO68" s="59" t="s">
        <v>101</v>
      </c>
      <c r="VNP68" s="56"/>
      <c r="VNQ68" s="57"/>
      <c r="VNR68" s="57"/>
      <c r="VNS68" s="57"/>
      <c r="VNT68" s="57"/>
      <c r="VNU68" s="57"/>
      <c r="VNV68" s="57"/>
      <c r="VNW68" s="59" t="s">
        <v>77</v>
      </c>
      <c r="VNX68" s="59" t="s">
        <v>78</v>
      </c>
      <c r="VNY68" s="59" t="s">
        <v>79</v>
      </c>
      <c r="VNZ68" s="59" t="s">
        <v>80</v>
      </c>
      <c r="VOA68" s="59" t="s">
        <v>81</v>
      </c>
      <c r="VOB68" s="59" t="s">
        <v>64</v>
      </c>
      <c r="VOC68" s="59" t="s">
        <v>98</v>
      </c>
      <c r="VOD68" s="59" t="s">
        <v>124</v>
      </c>
      <c r="VOE68" s="59" t="s">
        <v>101</v>
      </c>
      <c r="VOF68" s="56"/>
      <c r="VOG68" s="57"/>
      <c r="VOH68" s="57"/>
      <c r="VOI68" s="57"/>
      <c r="VOJ68" s="57"/>
      <c r="VOK68" s="57"/>
      <c r="VOL68" s="57"/>
      <c r="VOM68" s="59" t="s">
        <v>77</v>
      </c>
      <c r="VON68" s="59" t="s">
        <v>78</v>
      </c>
      <c r="VOO68" s="59" t="s">
        <v>79</v>
      </c>
      <c r="VOP68" s="59" t="s">
        <v>80</v>
      </c>
      <c r="VOQ68" s="59" t="s">
        <v>81</v>
      </c>
      <c r="VOR68" s="59" t="s">
        <v>64</v>
      </c>
      <c r="VOS68" s="59" t="s">
        <v>98</v>
      </c>
      <c r="VOT68" s="59" t="s">
        <v>124</v>
      </c>
      <c r="VOU68" s="59" t="s">
        <v>101</v>
      </c>
      <c r="VOV68" s="56"/>
      <c r="VOW68" s="57"/>
      <c r="VOX68" s="57"/>
      <c r="VOY68" s="57"/>
      <c r="VOZ68" s="57"/>
      <c r="VPA68" s="57"/>
      <c r="VPB68" s="57"/>
      <c r="VPC68" s="59" t="s">
        <v>77</v>
      </c>
      <c r="VPD68" s="59" t="s">
        <v>78</v>
      </c>
      <c r="VPE68" s="59" t="s">
        <v>79</v>
      </c>
      <c r="VPF68" s="59" t="s">
        <v>80</v>
      </c>
      <c r="VPG68" s="59" t="s">
        <v>81</v>
      </c>
      <c r="VPH68" s="59" t="s">
        <v>64</v>
      </c>
      <c r="VPI68" s="59" t="s">
        <v>98</v>
      </c>
      <c r="VPJ68" s="59" t="s">
        <v>124</v>
      </c>
      <c r="VPK68" s="59" t="s">
        <v>101</v>
      </c>
      <c r="VPL68" s="56"/>
      <c r="VPM68" s="57"/>
      <c r="VPN68" s="57"/>
      <c r="VPO68" s="57"/>
      <c r="VPP68" s="57"/>
      <c r="VPQ68" s="57"/>
      <c r="VPR68" s="57"/>
      <c r="VPS68" s="59" t="s">
        <v>77</v>
      </c>
      <c r="VPT68" s="59" t="s">
        <v>78</v>
      </c>
      <c r="VPU68" s="59" t="s">
        <v>79</v>
      </c>
      <c r="VPV68" s="59" t="s">
        <v>80</v>
      </c>
      <c r="VPW68" s="59" t="s">
        <v>81</v>
      </c>
      <c r="VPX68" s="59" t="s">
        <v>64</v>
      </c>
      <c r="VPY68" s="59" t="s">
        <v>98</v>
      </c>
      <c r="VPZ68" s="59" t="s">
        <v>124</v>
      </c>
      <c r="VQA68" s="59" t="s">
        <v>101</v>
      </c>
      <c r="VQB68" s="56"/>
      <c r="VQC68" s="57"/>
      <c r="VQD68" s="57"/>
      <c r="VQE68" s="57"/>
      <c r="VQF68" s="57"/>
      <c r="VQG68" s="57"/>
      <c r="VQH68" s="57"/>
      <c r="VQI68" s="59" t="s">
        <v>77</v>
      </c>
      <c r="VQJ68" s="59" t="s">
        <v>78</v>
      </c>
      <c r="VQK68" s="59" t="s">
        <v>79</v>
      </c>
      <c r="VQL68" s="59" t="s">
        <v>80</v>
      </c>
      <c r="VQM68" s="59" t="s">
        <v>81</v>
      </c>
      <c r="VQN68" s="59" t="s">
        <v>64</v>
      </c>
      <c r="VQO68" s="59" t="s">
        <v>98</v>
      </c>
      <c r="VQP68" s="59" t="s">
        <v>124</v>
      </c>
      <c r="VQQ68" s="59" t="s">
        <v>101</v>
      </c>
      <c r="VQR68" s="56"/>
      <c r="VQS68" s="57"/>
      <c r="VQT68" s="57"/>
      <c r="VQU68" s="57"/>
      <c r="VQV68" s="57"/>
      <c r="VQW68" s="57"/>
      <c r="VQX68" s="57"/>
      <c r="VQY68" s="59" t="s">
        <v>77</v>
      </c>
      <c r="VQZ68" s="59" t="s">
        <v>78</v>
      </c>
      <c r="VRA68" s="59" t="s">
        <v>79</v>
      </c>
      <c r="VRB68" s="59" t="s">
        <v>80</v>
      </c>
      <c r="VRC68" s="59" t="s">
        <v>81</v>
      </c>
      <c r="VRD68" s="59" t="s">
        <v>64</v>
      </c>
      <c r="VRE68" s="59" t="s">
        <v>98</v>
      </c>
      <c r="VRF68" s="59" t="s">
        <v>124</v>
      </c>
      <c r="VRG68" s="59" t="s">
        <v>101</v>
      </c>
      <c r="VRH68" s="56"/>
      <c r="VRI68" s="57"/>
      <c r="VRJ68" s="57"/>
      <c r="VRK68" s="57"/>
      <c r="VRL68" s="57"/>
      <c r="VRM68" s="57"/>
      <c r="VRN68" s="57"/>
      <c r="VRO68" s="59" t="s">
        <v>77</v>
      </c>
      <c r="VRP68" s="59" t="s">
        <v>78</v>
      </c>
      <c r="VRQ68" s="59" t="s">
        <v>79</v>
      </c>
      <c r="VRR68" s="59" t="s">
        <v>80</v>
      </c>
      <c r="VRS68" s="59" t="s">
        <v>81</v>
      </c>
      <c r="VRT68" s="59" t="s">
        <v>64</v>
      </c>
      <c r="VRU68" s="59" t="s">
        <v>98</v>
      </c>
      <c r="VRV68" s="59" t="s">
        <v>124</v>
      </c>
      <c r="VRW68" s="59" t="s">
        <v>101</v>
      </c>
      <c r="VRX68" s="56"/>
      <c r="VRY68" s="57"/>
      <c r="VRZ68" s="57"/>
      <c r="VSA68" s="57"/>
      <c r="VSB68" s="57"/>
      <c r="VSC68" s="57"/>
      <c r="VSD68" s="57"/>
      <c r="VSE68" s="59" t="s">
        <v>77</v>
      </c>
      <c r="VSF68" s="59" t="s">
        <v>78</v>
      </c>
      <c r="VSG68" s="59" t="s">
        <v>79</v>
      </c>
      <c r="VSH68" s="59" t="s">
        <v>80</v>
      </c>
      <c r="VSI68" s="59" t="s">
        <v>81</v>
      </c>
      <c r="VSJ68" s="59" t="s">
        <v>64</v>
      </c>
      <c r="VSK68" s="59" t="s">
        <v>98</v>
      </c>
      <c r="VSL68" s="59" t="s">
        <v>124</v>
      </c>
      <c r="VSM68" s="59" t="s">
        <v>101</v>
      </c>
      <c r="VSN68" s="56"/>
      <c r="VSO68" s="57"/>
      <c r="VSP68" s="57"/>
      <c r="VSQ68" s="57"/>
      <c r="VSR68" s="57"/>
      <c r="VSS68" s="57"/>
      <c r="VST68" s="57"/>
      <c r="VSU68" s="59" t="s">
        <v>77</v>
      </c>
      <c r="VSV68" s="59" t="s">
        <v>78</v>
      </c>
      <c r="VSW68" s="59" t="s">
        <v>79</v>
      </c>
      <c r="VSX68" s="59" t="s">
        <v>80</v>
      </c>
      <c r="VSY68" s="59" t="s">
        <v>81</v>
      </c>
      <c r="VSZ68" s="59" t="s">
        <v>64</v>
      </c>
      <c r="VTA68" s="59" t="s">
        <v>98</v>
      </c>
      <c r="VTB68" s="59" t="s">
        <v>124</v>
      </c>
      <c r="VTC68" s="59" t="s">
        <v>101</v>
      </c>
      <c r="VTD68" s="56"/>
      <c r="VTE68" s="57"/>
      <c r="VTF68" s="57"/>
      <c r="VTG68" s="57"/>
      <c r="VTH68" s="57"/>
      <c r="VTI68" s="57"/>
      <c r="VTJ68" s="57"/>
      <c r="VTK68" s="59" t="s">
        <v>77</v>
      </c>
      <c r="VTL68" s="59" t="s">
        <v>78</v>
      </c>
      <c r="VTM68" s="59" t="s">
        <v>79</v>
      </c>
      <c r="VTN68" s="59" t="s">
        <v>80</v>
      </c>
      <c r="VTO68" s="59" t="s">
        <v>81</v>
      </c>
      <c r="VTP68" s="59" t="s">
        <v>64</v>
      </c>
      <c r="VTQ68" s="59" t="s">
        <v>98</v>
      </c>
      <c r="VTR68" s="59" t="s">
        <v>124</v>
      </c>
      <c r="VTS68" s="59" t="s">
        <v>101</v>
      </c>
      <c r="VTT68" s="56"/>
      <c r="VTU68" s="57"/>
      <c r="VTV68" s="57"/>
      <c r="VTW68" s="57"/>
      <c r="VTX68" s="57"/>
      <c r="VTY68" s="57"/>
      <c r="VTZ68" s="57"/>
      <c r="VUA68" s="59" t="s">
        <v>77</v>
      </c>
      <c r="VUB68" s="59" t="s">
        <v>78</v>
      </c>
      <c r="VUC68" s="59" t="s">
        <v>79</v>
      </c>
      <c r="VUD68" s="59" t="s">
        <v>80</v>
      </c>
      <c r="VUE68" s="59" t="s">
        <v>81</v>
      </c>
      <c r="VUF68" s="59" t="s">
        <v>64</v>
      </c>
      <c r="VUG68" s="59" t="s">
        <v>98</v>
      </c>
      <c r="VUH68" s="59" t="s">
        <v>124</v>
      </c>
      <c r="VUI68" s="59" t="s">
        <v>101</v>
      </c>
      <c r="VUJ68" s="56"/>
      <c r="VUK68" s="57"/>
      <c r="VUL68" s="57"/>
      <c r="VUM68" s="57"/>
      <c r="VUN68" s="57"/>
      <c r="VUO68" s="57"/>
      <c r="VUP68" s="57"/>
      <c r="VUQ68" s="59" t="s">
        <v>77</v>
      </c>
      <c r="VUR68" s="59" t="s">
        <v>78</v>
      </c>
      <c r="VUS68" s="59" t="s">
        <v>79</v>
      </c>
      <c r="VUT68" s="59" t="s">
        <v>80</v>
      </c>
      <c r="VUU68" s="59" t="s">
        <v>81</v>
      </c>
      <c r="VUV68" s="59" t="s">
        <v>64</v>
      </c>
      <c r="VUW68" s="59" t="s">
        <v>98</v>
      </c>
      <c r="VUX68" s="59" t="s">
        <v>124</v>
      </c>
      <c r="VUY68" s="59" t="s">
        <v>101</v>
      </c>
      <c r="VUZ68" s="56"/>
      <c r="VVA68" s="57"/>
      <c r="VVB68" s="57"/>
      <c r="VVC68" s="57"/>
      <c r="VVD68" s="57"/>
      <c r="VVE68" s="57"/>
      <c r="VVF68" s="57"/>
      <c r="VVG68" s="59" t="s">
        <v>77</v>
      </c>
      <c r="VVH68" s="59" t="s">
        <v>78</v>
      </c>
      <c r="VVI68" s="59" t="s">
        <v>79</v>
      </c>
      <c r="VVJ68" s="59" t="s">
        <v>80</v>
      </c>
      <c r="VVK68" s="59" t="s">
        <v>81</v>
      </c>
      <c r="VVL68" s="59" t="s">
        <v>64</v>
      </c>
      <c r="VVM68" s="59" t="s">
        <v>98</v>
      </c>
      <c r="VVN68" s="59" t="s">
        <v>124</v>
      </c>
      <c r="VVO68" s="59" t="s">
        <v>101</v>
      </c>
      <c r="VVP68" s="56"/>
      <c r="VVQ68" s="57"/>
      <c r="VVR68" s="57"/>
      <c r="VVS68" s="57"/>
      <c r="VVT68" s="57"/>
      <c r="VVU68" s="57"/>
      <c r="VVV68" s="57"/>
      <c r="VVW68" s="59" t="s">
        <v>77</v>
      </c>
      <c r="VVX68" s="59" t="s">
        <v>78</v>
      </c>
      <c r="VVY68" s="59" t="s">
        <v>79</v>
      </c>
      <c r="VVZ68" s="59" t="s">
        <v>80</v>
      </c>
      <c r="VWA68" s="59" t="s">
        <v>81</v>
      </c>
      <c r="VWB68" s="59" t="s">
        <v>64</v>
      </c>
      <c r="VWC68" s="59" t="s">
        <v>98</v>
      </c>
      <c r="VWD68" s="59" t="s">
        <v>124</v>
      </c>
      <c r="VWE68" s="59" t="s">
        <v>101</v>
      </c>
      <c r="VWF68" s="56"/>
      <c r="VWG68" s="57"/>
      <c r="VWH68" s="57"/>
      <c r="VWI68" s="57"/>
      <c r="VWJ68" s="57"/>
      <c r="VWK68" s="57"/>
      <c r="VWL68" s="57"/>
      <c r="VWM68" s="59" t="s">
        <v>77</v>
      </c>
      <c r="VWN68" s="59" t="s">
        <v>78</v>
      </c>
      <c r="VWO68" s="59" t="s">
        <v>79</v>
      </c>
      <c r="VWP68" s="59" t="s">
        <v>80</v>
      </c>
      <c r="VWQ68" s="59" t="s">
        <v>81</v>
      </c>
      <c r="VWR68" s="59" t="s">
        <v>64</v>
      </c>
      <c r="VWS68" s="59" t="s">
        <v>98</v>
      </c>
      <c r="VWT68" s="59" t="s">
        <v>124</v>
      </c>
      <c r="VWU68" s="59" t="s">
        <v>101</v>
      </c>
      <c r="VWV68" s="56"/>
      <c r="VWW68" s="57"/>
      <c r="VWX68" s="57"/>
      <c r="VWY68" s="57"/>
      <c r="VWZ68" s="57"/>
      <c r="VXA68" s="57"/>
      <c r="VXB68" s="57"/>
      <c r="VXC68" s="59" t="s">
        <v>77</v>
      </c>
      <c r="VXD68" s="59" t="s">
        <v>78</v>
      </c>
      <c r="VXE68" s="59" t="s">
        <v>79</v>
      </c>
      <c r="VXF68" s="59" t="s">
        <v>80</v>
      </c>
      <c r="VXG68" s="59" t="s">
        <v>81</v>
      </c>
      <c r="VXH68" s="59" t="s">
        <v>64</v>
      </c>
      <c r="VXI68" s="59" t="s">
        <v>98</v>
      </c>
      <c r="VXJ68" s="59" t="s">
        <v>124</v>
      </c>
      <c r="VXK68" s="59" t="s">
        <v>101</v>
      </c>
      <c r="VXL68" s="56"/>
      <c r="VXM68" s="57"/>
      <c r="VXN68" s="57"/>
      <c r="VXO68" s="57"/>
      <c r="VXP68" s="57"/>
      <c r="VXQ68" s="57"/>
      <c r="VXR68" s="57"/>
      <c r="VXS68" s="59" t="s">
        <v>77</v>
      </c>
      <c r="VXT68" s="59" t="s">
        <v>78</v>
      </c>
      <c r="VXU68" s="59" t="s">
        <v>79</v>
      </c>
      <c r="VXV68" s="59" t="s">
        <v>80</v>
      </c>
      <c r="VXW68" s="59" t="s">
        <v>81</v>
      </c>
      <c r="VXX68" s="59" t="s">
        <v>64</v>
      </c>
      <c r="VXY68" s="59" t="s">
        <v>98</v>
      </c>
      <c r="VXZ68" s="59" t="s">
        <v>124</v>
      </c>
      <c r="VYA68" s="59" t="s">
        <v>101</v>
      </c>
      <c r="VYB68" s="56"/>
      <c r="VYC68" s="57"/>
      <c r="VYD68" s="57"/>
      <c r="VYE68" s="57"/>
      <c r="VYF68" s="57"/>
      <c r="VYG68" s="57"/>
      <c r="VYH68" s="57"/>
      <c r="VYI68" s="59" t="s">
        <v>77</v>
      </c>
      <c r="VYJ68" s="59" t="s">
        <v>78</v>
      </c>
      <c r="VYK68" s="59" t="s">
        <v>79</v>
      </c>
      <c r="VYL68" s="59" t="s">
        <v>80</v>
      </c>
      <c r="VYM68" s="59" t="s">
        <v>81</v>
      </c>
      <c r="VYN68" s="59" t="s">
        <v>64</v>
      </c>
      <c r="VYO68" s="59" t="s">
        <v>98</v>
      </c>
      <c r="VYP68" s="59" t="s">
        <v>124</v>
      </c>
      <c r="VYQ68" s="59" t="s">
        <v>101</v>
      </c>
      <c r="VYR68" s="56"/>
      <c r="VYS68" s="57"/>
      <c r="VYT68" s="57"/>
      <c r="VYU68" s="57"/>
      <c r="VYV68" s="57"/>
      <c r="VYW68" s="57"/>
      <c r="VYX68" s="57"/>
      <c r="VYY68" s="59" t="s">
        <v>77</v>
      </c>
      <c r="VYZ68" s="59" t="s">
        <v>78</v>
      </c>
      <c r="VZA68" s="59" t="s">
        <v>79</v>
      </c>
      <c r="VZB68" s="59" t="s">
        <v>80</v>
      </c>
      <c r="VZC68" s="59" t="s">
        <v>81</v>
      </c>
      <c r="VZD68" s="59" t="s">
        <v>64</v>
      </c>
      <c r="VZE68" s="59" t="s">
        <v>98</v>
      </c>
      <c r="VZF68" s="59" t="s">
        <v>124</v>
      </c>
      <c r="VZG68" s="59" t="s">
        <v>101</v>
      </c>
      <c r="VZH68" s="56"/>
      <c r="VZI68" s="57"/>
      <c r="VZJ68" s="57"/>
      <c r="VZK68" s="57"/>
      <c r="VZL68" s="57"/>
      <c r="VZM68" s="57"/>
      <c r="VZN68" s="57"/>
      <c r="VZO68" s="59" t="s">
        <v>77</v>
      </c>
      <c r="VZP68" s="59" t="s">
        <v>78</v>
      </c>
      <c r="VZQ68" s="59" t="s">
        <v>79</v>
      </c>
      <c r="VZR68" s="59" t="s">
        <v>80</v>
      </c>
      <c r="VZS68" s="59" t="s">
        <v>81</v>
      </c>
      <c r="VZT68" s="59" t="s">
        <v>64</v>
      </c>
      <c r="VZU68" s="59" t="s">
        <v>98</v>
      </c>
      <c r="VZV68" s="59" t="s">
        <v>124</v>
      </c>
      <c r="VZW68" s="59" t="s">
        <v>101</v>
      </c>
      <c r="VZX68" s="56"/>
      <c r="VZY68" s="57"/>
      <c r="VZZ68" s="57"/>
      <c r="WAA68" s="57"/>
      <c r="WAB68" s="57"/>
      <c r="WAC68" s="57"/>
      <c r="WAD68" s="57"/>
      <c r="WAE68" s="59" t="s">
        <v>77</v>
      </c>
      <c r="WAF68" s="59" t="s">
        <v>78</v>
      </c>
      <c r="WAG68" s="59" t="s">
        <v>79</v>
      </c>
      <c r="WAH68" s="59" t="s">
        <v>80</v>
      </c>
      <c r="WAI68" s="59" t="s">
        <v>81</v>
      </c>
      <c r="WAJ68" s="59" t="s">
        <v>64</v>
      </c>
      <c r="WAK68" s="59" t="s">
        <v>98</v>
      </c>
      <c r="WAL68" s="59" t="s">
        <v>124</v>
      </c>
      <c r="WAM68" s="59" t="s">
        <v>101</v>
      </c>
      <c r="WAN68" s="56"/>
      <c r="WAO68" s="57"/>
      <c r="WAP68" s="57"/>
      <c r="WAQ68" s="57"/>
      <c r="WAR68" s="57"/>
      <c r="WAS68" s="57"/>
      <c r="WAT68" s="57"/>
      <c r="WAU68" s="59" t="s">
        <v>77</v>
      </c>
      <c r="WAV68" s="59" t="s">
        <v>78</v>
      </c>
      <c r="WAW68" s="59" t="s">
        <v>79</v>
      </c>
      <c r="WAX68" s="59" t="s">
        <v>80</v>
      </c>
      <c r="WAY68" s="59" t="s">
        <v>81</v>
      </c>
      <c r="WAZ68" s="59" t="s">
        <v>64</v>
      </c>
      <c r="WBA68" s="59" t="s">
        <v>98</v>
      </c>
      <c r="WBB68" s="59" t="s">
        <v>124</v>
      </c>
      <c r="WBC68" s="59" t="s">
        <v>101</v>
      </c>
      <c r="WBD68" s="56"/>
      <c r="WBE68" s="57"/>
      <c r="WBF68" s="57"/>
      <c r="WBG68" s="57"/>
      <c r="WBH68" s="57"/>
      <c r="WBI68" s="57"/>
      <c r="WBJ68" s="57"/>
      <c r="WBK68" s="59" t="s">
        <v>77</v>
      </c>
      <c r="WBL68" s="59" t="s">
        <v>78</v>
      </c>
      <c r="WBM68" s="59" t="s">
        <v>79</v>
      </c>
      <c r="WBN68" s="59" t="s">
        <v>80</v>
      </c>
      <c r="WBO68" s="59" t="s">
        <v>81</v>
      </c>
      <c r="WBP68" s="59" t="s">
        <v>64</v>
      </c>
      <c r="WBQ68" s="59" t="s">
        <v>98</v>
      </c>
      <c r="WBR68" s="59" t="s">
        <v>124</v>
      </c>
      <c r="WBS68" s="59" t="s">
        <v>101</v>
      </c>
      <c r="WBT68" s="56"/>
      <c r="WBU68" s="57"/>
      <c r="WBV68" s="57"/>
      <c r="WBW68" s="57"/>
      <c r="WBX68" s="57"/>
      <c r="WBY68" s="57"/>
      <c r="WBZ68" s="57"/>
      <c r="WCA68" s="59" t="s">
        <v>77</v>
      </c>
      <c r="WCB68" s="59" t="s">
        <v>78</v>
      </c>
      <c r="WCC68" s="59" t="s">
        <v>79</v>
      </c>
      <c r="WCD68" s="59" t="s">
        <v>80</v>
      </c>
      <c r="WCE68" s="59" t="s">
        <v>81</v>
      </c>
      <c r="WCF68" s="59" t="s">
        <v>64</v>
      </c>
      <c r="WCG68" s="59" t="s">
        <v>98</v>
      </c>
      <c r="WCH68" s="59" t="s">
        <v>124</v>
      </c>
      <c r="WCI68" s="59" t="s">
        <v>101</v>
      </c>
      <c r="WCJ68" s="56"/>
      <c r="WCK68" s="57"/>
      <c r="WCL68" s="57"/>
      <c r="WCM68" s="57"/>
      <c r="WCN68" s="57"/>
      <c r="WCO68" s="57"/>
      <c r="WCP68" s="57"/>
      <c r="WCQ68" s="59" t="s">
        <v>77</v>
      </c>
      <c r="WCR68" s="59" t="s">
        <v>78</v>
      </c>
      <c r="WCS68" s="59" t="s">
        <v>79</v>
      </c>
      <c r="WCT68" s="59" t="s">
        <v>80</v>
      </c>
      <c r="WCU68" s="59" t="s">
        <v>81</v>
      </c>
      <c r="WCV68" s="59" t="s">
        <v>64</v>
      </c>
      <c r="WCW68" s="59" t="s">
        <v>98</v>
      </c>
      <c r="WCX68" s="59" t="s">
        <v>124</v>
      </c>
      <c r="WCY68" s="59" t="s">
        <v>101</v>
      </c>
      <c r="WCZ68" s="56"/>
      <c r="WDA68" s="57"/>
      <c r="WDB68" s="57"/>
      <c r="WDC68" s="57"/>
      <c r="WDD68" s="57"/>
      <c r="WDE68" s="57"/>
      <c r="WDF68" s="57"/>
      <c r="WDG68" s="59" t="s">
        <v>77</v>
      </c>
      <c r="WDH68" s="59" t="s">
        <v>78</v>
      </c>
      <c r="WDI68" s="59" t="s">
        <v>79</v>
      </c>
      <c r="WDJ68" s="59" t="s">
        <v>80</v>
      </c>
      <c r="WDK68" s="59" t="s">
        <v>81</v>
      </c>
      <c r="WDL68" s="59" t="s">
        <v>64</v>
      </c>
      <c r="WDM68" s="59" t="s">
        <v>98</v>
      </c>
      <c r="WDN68" s="59" t="s">
        <v>124</v>
      </c>
      <c r="WDO68" s="59" t="s">
        <v>101</v>
      </c>
      <c r="WDP68" s="56"/>
      <c r="WDQ68" s="57"/>
      <c r="WDR68" s="57"/>
      <c r="WDS68" s="57"/>
      <c r="WDT68" s="57"/>
      <c r="WDU68" s="57"/>
      <c r="WDV68" s="57"/>
      <c r="WDW68" s="59" t="s">
        <v>77</v>
      </c>
      <c r="WDX68" s="59" t="s">
        <v>78</v>
      </c>
      <c r="WDY68" s="59" t="s">
        <v>79</v>
      </c>
      <c r="WDZ68" s="59" t="s">
        <v>80</v>
      </c>
      <c r="WEA68" s="59" t="s">
        <v>81</v>
      </c>
      <c r="WEB68" s="59" t="s">
        <v>64</v>
      </c>
      <c r="WEC68" s="59" t="s">
        <v>98</v>
      </c>
      <c r="WED68" s="59" t="s">
        <v>124</v>
      </c>
      <c r="WEE68" s="59" t="s">
        <v>101</v>
      </c>
      <c r="WEF68" s="56"/>
      <c r="WEG68" s="57"/>
      <c r="WEH68" s="57"/>
      <c r="WEI68" s="57"/>
      <c r="WEJ68" s="57"/>
      <c r="WEK68" s="57"/>
      <c r="WEL68" s="57"/>
      <c r="WEM68" s="59" t="s">
        <v>77</v>
      </c>
      <c r="WEN68" s="59" t="s">
        <v>78</v>
      </c>
      <c r="WEO68" s="59" t="s">
        <v>79</v>
      </c>
      <c r="WEP68" s="59" t="s">
        <v>80</v>
      </c>
      <c r="WEQ68" s="59" t="s">
        <v>81</v>
      </c>
      <c r="WER68" s="59" t="s">
        <v>64</v>
      </c>
      <c r="WES68" s="59" t="s">
        <v>98</v>
      </c>
      <c r="WET68" s="59" t="s">
        <v>124</v>
      </c>
      <c r="WEU68" s="59" t="s">
        <v>101</v>
      </c>
      <c r="WEV68" s="56"/>
      <c r="WEW68" s="57"/>
      <c r="WEX68" s="57"/>
      <c r="WEY68" s="57"/>
      <c r="WEZ68" s="57"/>
      <c r="WFA68" s="57"/>
      <c r="WFB68" s="57"/>
      <c r="WFC68" s="59" t="s">
        <v>77</v>
      </c>
      <c r="WFD68" s="59" t="s">
        <v>78</v>
      </c>
      <c r="WFE68" s="59" t="s">
        <v>79</v>
      </c>
      <c r="WFF68" s="59" t="s">
        <v>80</v>
      </c>
      <c r="WFG68" s="59" t="s">
        <v>81</v>
      </c>
      <c r="WFH68" s="59" t="s">
        <v>64</v>
      </c>
      <c r="WFI68" s="59" t="s">
        <v>98</v>
      </c>
      <c r="WFJ68" s="59" t="s">
        <v>124</v>
      </c>
      <c r="WFK68" s="59" t="s">
        <v>101</v>
      </c>
      <c r="WFL68" s="56"/>
      <c r="WFM68" s="57"/>
      <c r="WFN68" s="57"/>
      <c r="WFO68" s="57"/>
      <c r="WFP68" s="57"/>
      <c r="WFQ68" s="57"/>
      <c r="WFR68" s="57"/>
      <c r="WFS68" s="59" t="s">
        <v>77</v>
      </c>
      <c r="WFT68" s="59" t="s">
        <v>78</v>
      </c>
      <c r="WFU68" s="59" t="s">
        <v>79</v>
      </c>
      <c r="WFV68" s="59" t="s">
        <v>80</v>
      </c>
      <c r="WFW68" s="59" t="s">
        <v>81</v>
      </c>
      <c r="WFX68" s="59" t="s">
        <v>64</v>
      </c>
      <c r="WFY68" s="59" t="s">
        <v>98</v>
      </c>
      <c r="WFZ68" s="59" t="s">
        <v>124</v>
      </c>
      <c r="WGA68" s="59" t="s">
        <v>101</v>
      </c>
      <c r="WGB68" s="56"/>
      <c r="WGC68" s="57"/>
      <c r="WGD68" s="57"/>
      <c r="WGE68" s="57"/>
      <c r="WGF68" s="57"/>
      <c r="WGG68" s="57"/>
      <c r="WGH68" s="57"/>
      <c r="WGI68" s="59" t="s">
        <v>77</v>
      </c>
      <c r="WGJ68" s="59" t="s">
        <v>78</v>
      </c>
      <c r="WGK68" s="59" t="s">
        <v>79</v>
      </c>
      <c r="WGL68" s="59" t="s">
        <v>80</v>
      </c>
      <c r="WGM68" s="59" t="s">
        <v>81</v>
      </c>
      <c r="WGN68" s="59" t="s">
        <v>64</v>
      </c>
      <c r="WGO68" s="59" t="s">
        <v>98</v>
      </c>
      <c r="WGP68" s="59" t="s">
        <v>124</v>
      </c>
      <c r="WGQ68" s="59" t="s">
        <v>101</v>
      </c>
      <c r="WGR68" s="56"/>
      <c r="WGS68" s="57"/>
      <c r="WGT68" s="57"/>
      <c r="WGU68" s="57"/>
      <c r="WGV68" s="57"/>
      <c r="WGW68" s="57"/>
      <c r="WGX68" s="57"/>
      <c r="WGY68" s="59" t="s">
        <v>77</v>
      </c>
      <c r="WGZ68" s="59" t="s">
        <v>78</v>
      </c>
      <c r="WHA68" s="59" t="s">
        <v>79</v>
      </c>
      <c r="WHB68" s="59" t="s">
        <v>80</v>
      </c>
      <c r="WHC68" s="59" t="s">
        <v>81</v>
      </c>
      <c r="WHD68" s="59" t="s">
        <v>64</v>
      </c>
      <c r="WHE68" s="59" t="s">
        <v>98</v>
      </c>
      <c r="WHF68" s="59" t="s">
        <v>124</v>
      </c>
      <c r="WHG68" s="59" t="s">
        <v>101</v>
      </c>
      <c r="WHH68" s="56"/>
      <c r="WHI68" s="57"/>
      <c r="WHJ68" s="57"/>
      <c r="WHK68" s="57"/>
      <c r="WHL68" s="57"/>
      <c r="WHM68" s="57"/>
      <c r="WHN68" s="57"/>
      <c r="WHO68" s="59" t="s">
        <v>77</v>
      </c>
      <c r="WHP68" s="59" t="s">
        <v>78</v>
      </c>
      <c r="WHQ68" s="59" t="s">
        <v>79</v>
      </c>
      <c r="WHR68" s="59" t="s">
        <v>80</v>
      </c>
      <c r="WHS68" s="59" t="s">
        <v>81</v>
      </c>
      <c r="WHT68" s="59" t="s">
        <v>64</v>
      </c>
      <c r="WHU68" s="59" t="s">
        <v>98</v>
      </c>
      <c r="WHV68" s="59" t="s">
        <v>124</v>
      </c>
      <c r="WHW68" s="59" t="s">
        <v>101</v>
      </c>
      <c r="WHX68" s="56"/>
      <c r="WHY68" s="57"/>
      <c r="WHZ68" s="57"/>
      <c r="WIA68" s="57"/>
      <c r="WIB68" s="57"/>
      <c r="WIC68" s="57"/>
      <c r="WID68" s="57"/>
      <c r="WIE68" s="59" t="s">
        <v>77</v>
      </c>
      <c r="WIF68" s="59" t="s">
        <v>78</v>
      </c>
      <c r="WIG68" s="59" t="s">
        <v>79</v>
      </c>
      <c r="WIH68" s="59" t="s">
        <v>80</v>
      </c>
      <c r="WII68" s="59" t="s">
        <v>81</v>
      </c>
      <c r="WIJ68" s="59" t="s">
        <v>64</v>
      </c>
      <c r="WIK68" s="59" t="s">
        <v>98</v>
      </c>
      <c r="WIL68" s="59" t="s">
        <v>124</v>
      </c>
      <c r="WIM68" s="59" t="s">
        <v>101</v>
      </c>
      <c r="WIN68" s="56"/>
      <c r="WIO68" s="57"/>
      <c r="WIP68" s="57"/>
      <c r="WIQ68" s="57"/>
      <c r="WIR68" s="57"/>
      <c r="WIS68" s="57"/>
      <c r="WIT68" s="57"/>
      <c r="WIU68" s="59" t="s">
        <v>77</v>
      </c>
      <c r="WIV68" s="59" t="s">
        <v>78</v>
      </c>
      <c r="WIW68" s="59" t="s">
        <v>79</v>
      </c>
      <c r="WIX68" s="59" t="s">
        <v>80</v>
      </c>
      <c r="WIY68" s="59" t="s">
        <v>81</v>
      </c>
      <c r="WIZ68" s="59" t="s">
        <v>64</v>
      </c>
      <c r="WJA68" s="59" t="s">
        <v>98</v>
      </c>
      <c r="WJB68" s="59" t="s">
        <v>124</v>
      </c>
      <c r="WJC68" s="59" t="s">
        <v>101</v>
      </c>
      <c r="WJD68" s="56"/>
      <c r="WJE68" s="57"/>
      <c r="WJF68" s="57"/>
      <c r="WJG68" s="57"/>
      <c r="WJH68" s="57"/>
      <c r="WJI68" s="57"/>
      <c r="WJJ68" s="57"/>
      <c r="WJK68" s="59" t="s">
        <v>77</v>
      </c>
      <c r="WJL68" s="59" t="s">
        <v>78</v>
      </c>
      <c r="WJM68" s="59" t="s">
        <v>79</v>
      </c>
      <c r="WJN68" s="59" t="s">
        <v>80</v>
      </c>
      <c r="WJO68" s="59" t="s">
        <v>81</v>
      </c>
      <c r="WJP68" s="59" t="s">
        <v>64</v>
      </c>
      <c r="WJQ68" s="59" t="s">
        <v>98</v>
      </c>
      <c r="WJR68" s="59" t="s">
        <v>124</v>
      </c>
      <c r="WJS68" s="59" t="s">
        <v>101</v>
      </c>
      <c r="WJT68" s="56"/>
      <c r="WJU68" s="57"/>
      <c r="WJV68" s="57"/>
      <c r="WJW68" s="57"/>
      <c r="WJX68" s="57"/>
      <c r="WJY68" s="57"/>
      <c r="WJZ68" s="57"/>
      <c r="WKA68" s="59" t="s">
        <v>77</v>
      </c>
      <c r="WKB68" s="59" t="s">
        <v>78</v>
      </c>
      <c r="WKC68" s="59" t="s">
        <v>79</v>
      </c>
      <c r="WKD68" s="59" t="s">
        <v>80</v>
      </c>
      <c r="WKE68" s="59" t="s">
        <v>81</v>
      </c>
      <c r="WKF68" s="59" t="s">
        <v>64</v>
      </c>
      <c r="WKG68" s="59" t="s">
        <v>98</v>
      </c>
      <c r="WKH68" s="59" t="s">
        <v>124</v>
      </c>
      <c r="WKI68" s="59" t="s">
        <v>101</v>
      </c>
      <c r="WKJ68" s="56"/>
      <c r="WKK68" s="57"/>
      <c r="WKL68" s="57"/>
      <c r="WKM68" s="57"/>
      <c r="WKN68" s="57"/>
      <c r="WKO68" s="57"/>
      <c r="WKP68" s="57"/>
      <c r="WKQ68" s="59" t="s">
        <v>77</v>
      </c>
      <c r="WKR68" s="59" t="s">
        <v>78</v>
      </c>
      <c r="WKS68" s="59" t="s">
        <v>79</v>
      </c>
      <c r="WKT68" s="59" t="s">
        <v>80</v>
      </c>
      <c r="WKU68" s="59" t="s">
        <v>81</v>
      </c>
      <c r="WKV68" s="59" t="s">
        <v>64</v>
      </c>
      <c r="WKW68" s="59" t="s">
        <v>98</v>
      </c>
      <c r="WKX68" s="59" t="s">
        <v>124</v>
      </c>
      <c r="WKY68" s="59" t="s">
        <v>101</v>
      </c>
      <c r="WKZ68" s="56"/>
      <c r="WLA68" s="57"/>
      <c r="WLB68" s="57"/>
      <c r="WLC68" s="57"/>
      <c r="WLD68" s="57"/>
      <c r="WLE68" s="57"/>
      <c r="WLF68" s="57"/>
      <c r="WLG68" s="59" t="s">
        <v>77</v>
      </c>
      <c r="WLH68" s="59" t="s">
        <v>78</v>
      </c>
      <c r="WLI68" s="59" t="s">
        <v>79</v>
      </c>
      <c r="WLJ68" s="59" t="s">
        <v>80</v>
      </c>
      <c r="WLK68" s="59" t="s">
        <v>81</v>
      </c>
      <c r="WLL68" s="59" t="s">
        <v>64</v>
      </c>
      <c r="WLM68" s="59" t="s">
        <v>98</v>
      </c>
      <c r="WLN68" s="59" t="s">
        <v>124</v>
      </c>
      <c r="WLO68" s="59" t="s">
        <v>101</v>
      </c>
      <c r="WLP68" s="56"/>
      <c r="WLQ68" s="57"/>
      <c r="WLR68" s="57"/>
      <c r="WLS68" s="57"/>
      <c r="WLT68" s="57"/>
      <c r="WLU68" s="57"/>
      <c r="WLV68" s="57"/>
      <c r="WLW68" s="59" t="s">
        <v>77</v>
      </c>
      <c r="WLX68" s="59" t="s">
        <v>78</v>
      </c>
      <c r="WLY68" s="59" t="s">
        <v>79</v>
      </c>
      <c r="WLZ68" s="59" t="s">
        <v>80</v>
      </c>
      <c r="WMA68" s="59" t="s">
        <v>81</v>
      </c>
      <c r="WMB68" s="59" t="s">
        <v>64</v>
      </c>
      <c r="WMC68" s="59" t="s">
        <v>98</v>
      </c>
      <c r="WMD68" s="59" t="s">
        <v>124</v>
      </c>
      <c r="WME68" s="59" t="s">
        <v>101</v>
      </c>
      <c r="WMF68" s="56"/>
      <c r="WMG68" s="57"/>
      <c r="WMH68" s="57"/>
      <c r="WMI68" s="57"/>
      <c r="WMJ68" s="57"/>
      <c r="WMK68" s="57"/>
      <c r="WML68" s="57"/>
      <c r="WMM68" s="59" t="s">
        <v>77</v>
      </c>
      <c r="WMN68" s="59" t="s">
        <v>78</v>
      </c>
      <c r="WMO68" s="59" t="s">
        <v>79</v>
      </c>
      <c r="WMP68" s="59" t="s">
        <v>80</v>
      </c>
      <c r="WMQ68" s="59" t="s">
        <v>81</v>
      </c>
      <c r="WMR68" s="59" t="s">
        <v>64</v>
      </c>
      <c r="WMS68" s="59" t="s">
        <v>98</v>
      </c>
      <c r="WMT68" s="59" t="s">
        <v>124</v>
      </c>
      <c r="WMU68" s="59" t="s">
        <v>101</v>
      </c>
      <c r="WMV68" s="56"/>
      <c r="WMW68" s="57"/>
      <c r="WMX68" s="57"/>
      <c r="WMY68" s="57"/>
      <c r="WMZ68" s="57"/>
      <c r="WNA68" s="57"/>
      <c r="WNB68" s="57"/>
      <c r="WNC68" s="59" t="s">
        <v>77</v>
      </c>
      <c r="WND68" s="59" t="s">
        <v>78</v>
      </c>
      <c r="WNE68" s="59" t="s">
        <v>79</v>
      </c>
      <c r="WNF68" s="59" t="s">
        <v>80</v>
      </c>
      <c r="WNG68" s="59" t="s">
        <v>81</v>
      </c>
      <c r="WNH68" s="59" t="s">
        <v>64</v>
      </c>
      <c r="WNI68" s="59" t="s">
        <v>98</v>
      </c>
      <c r="WNJ68" s="59" t="s">
        <v>124</v>
      </c>
      <c r="WNK68" s="59" t="s">
        <v>101</v>
      </c>
      <c r="WNL68" s="56"/>
      <c r="WNM68" s="57"/>
      <c r="WNN68" s="57"/>
      <c r="WNO68" s="57"/>
      <c r="WNP68" s="57"/>
      <c r="WNQ68" s="57"/>
      <c r="WNR68" s="57"/>
      <c r="WNS68" s="59" t="s">
        <v>77</v>
      </c>
      <c r="WNT68" s="59" t="s">
        <v>78</v>
      </c>
      <c r="WNU68" s="59" t="s">
        <v>79</v>
      </c>
      <c r="WNV68" s="59" t="s">
        <v>80</v>
      </c>
      <c r="WNW68" s="59" t="s">
        <v>81</v>
      </c>
      <c r="WNX68" s="59" t="s">
        <v>64</v>
      </c>
      <c r="WNY68" s="59" t="s">
        <v>98</v>
      </c>
      <c r="WNZ68" s="59" t="s">
        <v>124</v>
      </c>
      <c r="WOA68" s="59" t="s">
        <v>101</v>
      </c>
      <c r="WOB68" s="56"/>
      <c r="WOC68" s="57"/>
      <c r="WOD68" s="57"/>
      <c r="WOE68" s="57"/>
      <c r="WOF68" s="57"/>
      <c r="WOG68" s="57"/>
      <c r="WOH68" s="57"/>
      <c r="WOI68" s="59" t="s">
        <v>77</v>
      </c>
      <c r="WOJ68" s="59" t="s">
        <v>78</v>
      </c>
      <c r="WOK68" s="59" t="s">
        <v>79</v>
      </c>
      <c r="WOL68" s="59" t="s">
        <v>80</v>
      </c>
      <c r="WOM68" s="59" t="s">
        <v>81</v>
      </c>
      <c r="WON68" s="59" t="s">
        <v>64</v>
      </c>
      <c r="WOO68" s="59" t="s">
        <v>98</v>
      </c>
      <c r="WOP68" s="59" t="s">
        <v>124</v>
      </c>
      <c r="WOQ68" s="59" t="s">
        <v>101</v>
      </c>
      <c r="WOR68" s="56"/>
      <c r="WOS68" s="57"/>
      <c r="WOT68" s="57"/>
      <c r="WOU68" s="57"/>
      <c r="WOV68" s="57"/>
      <c r="WOW68" s="57"/>
      <c r="WOX68" s="57"/>
      <c r="WOY68" s="59" t="s">
        <v>77</v>
      </c>
      <c r="WOZ68" s="59" t="s">
        <v>78</v>
      </c>
      <c r="WPA68" s="59" t="s">
        <v>79</v>
      </c>
      <c r="WPB68" s="59" t="s">
        <v>80</v>
      </c>
      <c r="WPC68" s="59" t="s">
        <v>81</v>
      </c>
      <c r="WPD68" s="59" t="s">
        <v>64</v>
      </c>
      <c r="WPE68" s="59" t="s">
        <v>98</v>
      </c>
      <c r="WPF68" s="59" t="s">
        <v>124</v>
      </c>
      <c r="WPG68" s="59" t="s">
        <v>101</v>
      </c>
      <c r="WPH68" s="56"/>
      <c r="WPI68" s="57"/>
      <c r="WPJ68" s="57"/>
      <c r="WPK68" s="57"/>
      <c r="WPL68" s="57"/>
      <c r="WPM68" s="57"/>
      <c r="WPN68" s="57"/>
      <c r="WPO68" s="59" t="s">
        <v>77</v>
      </c>
      <c r="WPP68" s="59" t="s">
        <v>78</v>
      </c>
      <c r="WPQ68" s="59" t="s">
        <v>79</v>
      </c>
      <c r="WPR68" s="59" t="s">
        <v>80</v>
      </c>
      <c r="WPS68" s="59" t="s">
        <v>81</v>
      </c>
      <c r="WPT68" s="59" t="s">
        <v>64</v>
      </c>
      <c r="WPU68" s="59" t="s">
        <v>98</v>
      </c>
      <c r="WPV68" s="59" t="s">
        <v>124</v>
      </c>
      <c r="WPW68" s="59" t="s">
        <v>101</v>
      </c>
      <c r="WPX68" s="56"/>
      <c r="WPY68" s="57"/>
      <c r="WPZ68" s="57"/>
      <c r="WQA68" s="57"/>
      <c r="WQB68" s="57"/>
      <c r="WQC68" s="57"/>
      <c r="WQD68" s="57"/>
      <c r="WQE68" s="59" t="s">
        <v>77</v>
      </c>
      <c r="WQF68" s="59" t="s">
        <v>78</v>
      </c>
      <c r="WQG68" s="59" t="s">
        <v>79</v>
      </c>
      <c r="WQH68" s="59" t="s">
        <v>80</v>
      </c>
      <c r="WQI68" s="59" t="s">
        <v>81</v>
      </c>
      <c r="WQJ68" s="59" t="s">
        <v>64</v>
      </c>
      <c r="WQK68" s="59" t="s">
        <v>98</v>
      </c>
      <c r="WQL68" s="59" t="s">
        <v>124</v>
      </c>
      <c r="WQM68" s="59" t="s">
        <v>101</v>
      </c>
      <c r="WQN68" s="56"/>
      <c r="WQO68" s="57"/>
      <c r="WQP68" s="57"/>
      <c r="WQQ68" s="57"/>
      <c r="WQR68" s="57"/>
      <c r="WQS68" s="57"/>
      <c r="WQT68" s="57"/>
      <c r="WQU68" s="59" t="s">
        <v>77</v>
      </c>
      <c r="WQV68" s="59" t="s">
        <v>78</v>
      </c>
      <c r="WQW68" s="59" t="s">
        <v>79</v>
      </c>
      <c r="WQX68" s="59" t="s">
        <v>80</v>
      </c>
      <c r="WQY68" s="59" t="s">
        <v>81</v>
      </c>
      <c r="WQZ68" s="59" t="s">
        <v>64</v>
      </c>
      <c r="WRA68" s="59" t="s">
        <v>98</v>
      </c>
      <c r="WRB68" s="59" t="s">
        <v>124</v>
      </c>
      <c r="WRC68" s="59" t="s">
        <v>101</v>
      </c>
      <c r="WRD68" s="56"/>
      <c r="WRE68" s="57"/>
      <c r="WRF68" s="57"/>
      <c r="WRG68" s="57"/>
      <c r="WRH68" s="57"/>
      <c r="WRI68" s="57"/>
      <c r="WRJ68" s="57"/>
      <c r="WRK68" s="59" t="s">
        <v>77</v>
      </c>
      <c r="WRL68" s="59" t="s">
        <v>78</v>
      </c>
      <c r="WRM68" s="59" t="s">
        <v>79</v>
      </c>
      <c r="WRN68" s="59" t="s">
        <v>80</v>
      </c>
      <c r="WRO68" s="59" t="s">
        <v>81</v>
      </c>
      <c r="WRP68" s="59" t="s">
        <v>64</v>
      </c>
      <c r="WRQ68" s="59" t="s">
        <v>98</v>
      </c>
      <c r="WRR68" s="59" t="s">
        <v>124</v>
      </c>
      <c r="WRS68" s="59" t="s">
        <v>101</v>
      </c>
      <c r="WRT68" s="56"/>
      <c r="WRU68" s="57"/>
      <c r="WRV68" s="57"/>
      <c r="WRW68" s="57"/>
      <c r="WRX68" s="57"/>
      <c r="WRY68" s="57"/>
      <c r="WRZ68" s="57"/>
      <c r="WSA68" s="59" t="s">
        <v>77</v>
      </c>
      <c r="WSB68" s="59" t="s">
        <v>78</v>
      </c>
      <c r="WSC68" s="59" t="s">
        <v>79</v>
      </c>
      <c r="WSD68" s="59" t="s">
        <v>80</v>
      </c>
      <c r="WSE68" s="59" t="s">
        <v>81</v>
      </c>
      <c r="WSF68" s="59" t="s">
        <v>64</v>
      </c>
      <c r="WSG68" s="59" t="s">
        <v>98</v>
      </c>
      <c r="WSH68" s="59" t="s">
        <v>124</v>
      </c>
      <c r="WSI68" s="59" t="s">
        <v>101</v>
      </c>
      <c r="WSJ68" s="56"/>
      <c r="WSK68" s="57"/>
      <c r="WSL68" s="57"/>
      <c r="WSM68" s="57"/>
      <c r="WSN68" s="57"/>
      <c r="WSO68" s="57"/>
      <c r="WSP68" s="57"/>
      <c r="WSQ68" s="59" t="s">
        <v>77</v>
      </c>
      <c r="WSR68" s="59" t="s">
        <v>78</v>
      </c>
      <c r="WSS68" s="59" t="s">
        <v>79</v>
      </c>
      <c r="WST68" s="59" t="s">
        <v>80</v>
      </c>
      <c r="WSU68" s="59" t="s">
        <v>81</v>
      </c>
      <c r="WSV68" s="59" t="s">
        <v>64</v>
      </c>
      <c r="WSW68" s="59" t="s">
        <v>98</v>
      </c>
      <c r="WSX68" s="59" t="s">
        <v>124</v>
      </c>
      <c r="WSY68" s="59" t="s">
        <v>101</v>
      </c>
      <c r="WSZ68" s="56"/>
      <c r="WTA68" s="57"/>
      <c r="WTB68" s="57"/>
      <c r="WTC68" s="57"/>
      <c r="WTD68" s="57"/>
      <c r="WTE68" s="57"/>
      <c r="WTF68" s="57"/>
      <c r="WTG68" s="59" t="s">
        <v>77</v>
      </c>
      <c r="WTH68" s="59" t="s">
        <v>78</v>
      </c>
      <c r="WTI68" s="59" t="s">
        <v>79</v>
      </c>
      <c r="WTJ68" s="59" t="s">
        <v>80</v>
      </c>
      <c r="WTK68" s="59" t="s">
        <v>81</v>
      </c>
      <c r="WTL68" s="59" t="s">
        <v>64</v>
      </c>
      <c r="WTM68" s="59" t="s">
        <v>98</v>
      </c>
      <c r="WTN68" s="59" t="s">
        <v>124</v>
      </c>
      <c r="WTO68" s="59" t="s">
        <v>101</v>
      </c>
      <c r="WTP68" s="56"/>
      <c r="WTQ68" s="57"/>
      <c r="WTR68" s="57"/>
      <c r="WTS68" s="57"/>
      <c r="WTT68" s="57"/>
      <c r="WTU68" s="57"/>
      <c r="WTV68" s="57"/>
      <c r="WTW68" s="59" t="s">
        <v>77</v>
      </c>
      <c r="WTX68" s="59" t="s">
        <v>78</v>
      </c>
      <c r="WTY68" s="59" t="s">
        <v>79</v>
      </c>
      <c r="WTZ68" s="59" t="s">
        <v>80</v>
      </c>
      <c r="WUA68" s="59" t="s">
        <v>81</v>
      </c>
      <c r="WUB68" s="59" t="s">
        <v>64</v>
      </c>
      <c r="WUC68" s="59" t="s">
        <v>98</v>
      </c>
      <c r="WUD68" s="59" t="s">
        <v>124</v>
      </c>
      <c r="WUE68" s="59" t="s">
        <v>101</v>
      </c>
      <c r="WUF68" s="56"/>
      <c r="WUG68" s="57"/>
      <c r="WUH68" s="57"/>
      <c r="WUI68" s="57"/>
      <c r="WUJ68" s="57"/>
      <c r="WUK68" s="57"/>
      <c r="WUL68" s="57"/>
      <c r="WUM68" s="59" t="s">
        <v>77</v>
      </c>
      <c r="WUN68" s="59" t="s">
        <v>78</v>
      </c>
      <c r="WUO68" s="59" t="s">
        <v>79</v>
      </c>
      <c r="WUP68" s="59" t="s">
        <v>80</v>
      </c>
      <c r="WUQ68" s="59" t="s">
        <v>81</v>
      </c>
      <c r="WUR68" s="59" t="s">
        <v>64</v>
      </c>
      <c r="WUS68" s="59" t="s">
        <v>98</v>
      </c>
      <c r="WUT68" s="59" t="s">
        <v>124</v>
      </c>
      <c r="WUU68" s="59" t="s">
        <v>101</v>
      </c>
      <c r="WUV68" s="56"/>
      <c r="WUW68" s="57"/>
      <c r="WUX68" s="57"/>
      <c r="WUY68" s="57"/>
      <c r="WUZ68" s="57"/>
      <c r="WVA68" s="57"/>
      <c r="WVB68" s="57"/>
      <c r="WVC68" s="59" t="s">
        <v>77</v>
      </c>
      <c r="WVD68" s="59" t="s">
        <v>78</v>
      </c>
      <c r="WVE68" s="59" t="s">
        <v>79</v>
      </c>
      <c r="WVF68" s="59" t="s">
        <v>80</v>
      </c>
      <c r="WVG68" s="59" t="s">
        <v>81</v>
      </c>
      <c r="WVH68" s="59" t="s">
        <v>64</v>
      </c>
      <c r="WVI68" s="59" t="s">
        <v>98</v>
      </c>
      <c r="WVJ68" s="59" t="s">
        <v>124</v>
      </c>
      <c r="WVK68" s="59" t="s">
        <v>101</v>
      </c>
      <c r="WVL68" s="56"/>
      <c r="WVM68" s="57"/>
      <c r="WVN68" s="57"/>
      <c r="WVO68" s="57"/>
      <c r="WVP68" s="57"/>
      <c r="WVQ68" s="57"/>
      <c r="WVR68" s="57"/>
      <c r="WVS68" s="59" t="s">
        <v>77</v>
      </c>
      <c r="WVT68" s="59" t="s">
        <v>78</v>
      </c>
      <c r="WVU68" s="59" t="s">
        <v>79</v>
      </c>
      <c r="WVV68" s="59" t="s">
        <v>80</v>
      </c>
      <c r="WVW68" s="59" t="s">
        <v>81</v>
      </c>
      <c r="WVX68" s="59" t="s">
        <v>64</v>
      </c>
      <c r="WVY68" s="59" t="s">
        <v>98</v>
      </c>
      <c r="WVZ68" s="59" t="s">
        <v>124</v>
      </c>
      <c r="WWA68" s="59" t="s">
        <v>101</v>
      </c>
      <c r="WWB68" s="56"/>
      <c r="WWC68" s="57"/>
      <c r="WWD68" s="57"/>
      <c r="WWE68" s="57"/>
      <c r="WWF68" s="57"/>
      <c r="WWG68" s="57"/>
      <c r="WWH68" s="57"/>
      <c r="WWI68" s="59" t="s">
        <v>77</v>
      </c>
      <c r="WWJ68" s="59" t="s">
        <v>78</v>
      </c>
      <c r="WWK68" s="59" t="s">
        <v>79</v>
      </c>
      <c r="WWL68" s="59" t="s">
        <v>80</v>
      </c>
      <c r="WWM68" s="59" t="s">
        <v>81</v>
      </c>
      <c r="WWN68" s="59" t="s">
        <v>64</v>
      </c>
      <c r="WWO68" s="59" t="s">
        <v>98</v>
      </c>
      <c r="WWP68" s="59" t="s">
        <v>124</v>
      </c>
      <c r="WWQ68" s="59" t="s">
        <v>101</v>
      </c>
      <c r="WWR68" s="56"/>
      <c r="WWS68" s="57"/>
      <c r="WWT68" s="57"/>
      <c r="WWU68" s="57"/>
      <c r="WWV68" s="57"/>
      <c r="WWW68" s="57"/>
      <c r="WWX68" s="57"/>
      <c r="WWY68" s="59" t="s">
        <v>77</v>
      </c>
      <c r="WWZ68" s="59" t="s">
        <v>78</v>
      </c>
      <c r="WXA68" s="59" t="s">
        <v>79</v>
      </c>
      <c r="WXB68" s="59" t="s">
        <v>80</v>
      </c>
      <c r="WXC68" s="59" t="s">
        <v>81</v>
      </c>
      <c r="WXD68" s="59" t="s">
        <v>64</v>
      </c>
      <c r="WXE68" s="59" t="s">
        <v>98</v>
      </c>
      <c r="WXF68" s="59" t="s">
        <v>124</v>
      </c>
      <c r="WXG68" s="59" t="s">
        <v>101</v>
      </c>
      <c r="WXH68" s="56"/>
      <c r="WXI68" s="57"/>
      <c r="WXJ68" s="57"/>
      <c r="WXK68" s="57"/>
      <c r="WXL68" s="57"/>
      <c r="WXM68" s="57"/>
      <c r="WXN68" s="57"/>
      <c r="WXO68" s="59" t="s">
        <v>77</v>
      </c>
      <c r="WXP68" s="59" t="s">
        <v>78</v>
      </c>
      <c r="WXQ68" s="59" t="s">
        <v>79</v>
      </c>
      <c r="WXR68" s="59" t="s">
        <v>80</v>
      </c>
      <c r="WXS68" s="59" t="s">
        <v>81</v>
      </c>
      <c r="WXT68" s="59" t="s">
        <v>64</v>
      </c>
      <c r="WXU68" s="59" t="s">
        <v>98</v>
      </c>
      <c r="WXV68" s="59" t="s">
        <v>124</v>
      </c>
      <c r="WXW68" s="59" t="s">
        <v>101</v>
      </c>
      <c r="WXX68" s="56"/>
      <c r="WXY68" s="57"/>
      <c r="WXZ68" s="57"/>
      <c r="WYA68" s="57"/>
      <c r="WYB68" s="57"/>
      <c r="WYC68" s="57"/>
      <c r="WYD68" s="57"/>
      <c r="WYE68" s="59" t="s">
        <v>77</v>
      </c>
      <c r="WYF68" s="59" t="s">
        <v>78</v>
      </c>
      <c r="WYG68" s="59" t="s">
        <v>79</v>
      </c>
      <c r="WYH68" s="59" t="s">
        <v>80</v>
      </c>
      <c r="WYI68" s="59" t="s">
        <v>81</v>
      </c>
      <c r="WYJ68" s="59" t="s">
        <v>64</v>
      </c>
      <c r="WYK68" s="59" t="s">
        <v>98</v>
      </c>
      <c r="WYL68" s="59" t="s">
        <v>124</v>
      </c>
      <c r="WYM68" s="59" t="s">
        <v>101</v>
      </c>
      <c r="WYN68" s="56"/>
      <c r="WYO68" s="57"/>
      <c r="WYP68" s="57"/>
      <c r="WYQ68" s="57"/>
      <c r="WYR68" s="57"/>
      <c r="WYS68" s="57"/>
      <c r="WYT68" s="57"/>
      <c r="WYU68" s="59" t="s">
        <v>77</v>
      </c>
      <c r="WYV68" s="59" t="s">
        <v>78</v>
      </c>
      <c r="WYW68" s="59" t="s">
        <v>79</v>
      </c>
      <c r="WYX68" s="59" t="s">
        <v>80</v>
      </c>
      <c r="WYY68" s="59" t="s">
        <v>81</v>
      </c>
      <c r="WYZ68" s="59" t="s">
        <v>64</v>
      </c>
      <c r="WZA68" s="59" t="s">
        <v>98</v>
      </c>
      <c r="WZB68" s="59" t="s">
        <v>124</v>
      </c>
      <c r="WZC68" s="59" t="s">
        <v>101</v>
      </c>
      <c r="WZD68" s="56"/>
      <c r="WZE68" s="57"/>
      <c r="WZF68" s="57"/>
      <c r="WZG68" s="57"/>
      <c r="WZH68" s="57"/>
      <c r="WZI68" s="57"/>
      <c r="WZJ68" s="57"/>
      <c r="WZK68" s="59" t="s">
        <v>77</v>
      </c>
      <c r="WZL68" s="59" t="s">
        <v>78</v>
      </c>
      <c r="WZM68" s="59" t="s">
        <v>79</v>
      </c>
      <c r="WZN68" s="59" t="s">
        <v>80</v>
      </c>
      <c r="WZO68" s="59" t="s">
        <v>81</v>
      </c>
      <c r="WZP68" s="59" t="s">
        <v>64</v>
      </c>
      <c r="WZQ68" s="59" t="s">
        <v>98</v>
      </c>
      <c r="WZR68" s="59" t="s">
        <v>124</v>
      </c>
      <c r="WZS68" s="59" t="s">
        <v>101</v>
      </c>
      <c r="WZT68" s="56"/>
      <c r="WZU68" s="57"/>
      <c r="WZV68" s="57"/>
      <c r="WZW68" s="57"/>
      <c r="WZX68" s="57"/>
      <c r="WZY68" s="57"/>
      <c r="WZZ68" s="57"/>
      <c r="XAA68" s="59" t="s">
        <v>77</v>
      </c>
      <c r="XAB68" s="59" t="s">
        <v>78</v>
      </c>
      <c r="XAC68" s="59" t="s">
        <v>79</v>
      </c>
      <c r="XAD68" s="59" t="s">
        <v>80</v>
      </c>
      <c r="XAE68" s="59" t="s">
        <v>81</v>
      </c>
      <c r="XAF68" s="59" t="s">
        <v>64</v>
      </c>
      <c r="XAG68" s="59" t="s">
        <v>98</v>
      </c>
      <c r="XAH68" s="59" t="s">
        <v>124</v>
      </c>
      <c r="XAI68" s="59" t="s">
        <v>101</v>
      </c>
      <c r="XAJ68" s="56"/>
      <c r="XAK68" s="57"/>
      <c r="XAL68" s="57"/>
      <c r="XAM68" s="57"/>
      <c r="XAN68" s="57"/>
      <c r="XAO68" s="57"/>
      <c r="XAP68" s="57"/>
      <c r="XAQ68" s="59" t="s">
        <v>77</v>
      </c>
      <c r="XAR68" s="59" t="s">
        <v>78</v>
      </c>
      <c r="XAS68" s="59" t="s">
        <v>79</v>
      </c>
      <c r="XAT68" s="59" t="s">
        <v>80</v>
      </c>
      <c r="XAU68" s="59" t="s">
        <v>81</v>
      </c>
      <c r="XAV68" s="59" t="s">
        <v>64</v>
      </c>
      <c r="XAW68" s="59" t="s">
        <v>98</v>
      </c>
      <c r="XAX68" s="59" t="s">
        <v>124</v>
      </c>
      <c r="XAY68" s="59" t="s">
        <v>101</v>
      </c>
      <c r="XAZ68" s="56"/>
      <c r="XBA68" s="57"/>
      <c r="XBB68" s="57"/>
      <c r="XBC68" s="57"/>
      <c r="XBD68" s="57"/>
      <c r="XBE68" s="57"/>
      <c r="XBF68" s="57"/>
      <c r="XBG68" s="59" t="s">
        <v>77</v>
      </c>
      <c r="XBH68" s="59" t="s">
        <v>78</v>
      </c>
      <c r="XBI68" s="59" t="s">
        <v>79</v>
      </c>
      <c r="XBJ68" s="59" t="s">
        <v>80</v>
      </c>
      <c r="XBK68" s="59" t="s">
        <v>81</v>
      </c>
      <c r="XBL68" s="59" t="s">
        <v>64</v>
      </c>
      <c r="XBM68" s="59" t="s">
        <v>98</v>
      </c>
      <c r="XBN68" s="59" t="s">
        <v>124</v>
      </c>
      <c r="XBO68" s="59" t="s">
        <v>101</v>
      </c>
      <c r="XBP68" s="56"/>
      <c r="XBQ68" s="57"/>
      <c r="XBR68" s="57"/>
      <c r="XBS68" s="57"/>
      <c r="XBT68" s="57"/>
      <c r="XBU68" s="57"/>
      <c r="XBV68" s="57"/>
      <c r="XBW68" s="59" t="s">
        <v>77</v>
      </c>
      <c r="XBX68" s="59" t="s">
        <v>78</v>
      </c>
      <c r="XBY68" s="59" t="s">
        <v>79</v>
      </c>
      <c r="XBZ68" s="59" t="s">
        <v>80</v>
      </c>
      <c r="XCA68" s="59" t="s">
        <v>81</v>
      </c>
      <c r="XCB68" s="59" t="s">
        <v>64</v>
      </c>
      <c r="XCC68" s="59" t="s">
        <v>98</v>
      </c>
      <c r="XCD68" s="59" t="s">
        <v>124</v>
      </c>
      <c r="XCE68" s="59" t="s">
        <v>101</v>
      </c>
      <c r="XCF68" s="56"/>
      <c r="XCG68" s="57"/>
      <c r="XCH68" s="57"/>
      <c r="XCI68" s="57"/>
      <c r="XCJ68" s="57"/>
      <c r="XCK68" s="57"/>
      <c r="XCL68" s="57"/>
      <c r="XCM68" s="59" t="s">
        <v>77</v>
      </c>
      <c r="XCN68" s="59" t="s">
        <v>78</v>
      </c>
      <c r="XCO68" s="59" t="s">
        <v>79</v>
      </c>
      <c r="XCP68" s="59" t="s">
        <v>80</v>
      </c>
      <c r="XCQ68" s="59" t="s">
        <v>81</v>
      </c>
      <c r="XCR68" s="59" t="s">
        <v>64</v>
      </c>
      <c r="XCS68" s="59" t="s">
        <v>98</v>
      </c>
      <c r="XCT68" s="59" t="s">
        <v>124</v>
      </c>
      <c r="XCU68" s="59" t="s">
        <v>101</v>
      </c>
      <c r="XCV68" s="56"/>
      <c r="XCW68" s="57"/>
      <c r="XCX68" s="57"/>
      <c r="XCY68" s="57"/>
      <c r="XCZ68" s="57"/>
      <c r="XDA68" s="57"/>
      <c r="XDB68" s="57"/>
      <c r="XDC68" s="59" t="s">
        <v>77</v>
      </c>
      <c r="XDD68" s="59" t="s">
        <v>78</v>
      </c>
      <c r="XDE68" s="59" t="s">
        <v>79</v>
      </c>
      <c r="XDF68" s="59" t="s">
        <v>80</v>
      </c>
      <c r="XDG68" s="59" t="s">
        <v>81</v>
      </c>
      <c r="XDH68" s="59" t="s">
        <v>64</v>
      </c>
      <c r="XDI68" s="59" t="s">
        <v>98</v>
      </c>
      <c r="XDJ68" s="59" t="s">
        <v>124</v>
      </c>
      <c r="XDK68" s="59" t="s">
        <v>101</v>
      </c>
      <c r="XDL68" s="56"/>
      <c r="XDM68" s="57"/>
      <c r="XDN68" s="57"/>
      <c r="XDO68" s="57"/>
      <c r="XDP68" s="57"/>
      <c r="XDQ68" s="57"/>
      <c r="XDR68" s="57"/>
      <c r="XDS68" s="59" t="s">
        <v>77</v>
      </c>
      <c r="XDT68" s="59" t="s">
        <v>78</v>
      </c>
      <c r="XDU68" s="59" t="s">
        <v>79</v>
      </c>
      <c r="XDV68" s="59" t="s">
        <v>80</v>
      </c>
      <c r="XDW68" s="59" t="s">
        <v>81</v>
      </c>
      <c r="XDX68" s="59" t="s">
        <v>64</v>
      </c>
      <c r="XDY68" s="59" t="s">
        <v>98</v>
      </c>
      <c r="XDZ68" s="59" t="s">
        <v>124</v>
      </c>
      <c r="XEA68" s="59" t="s">
        <v>101</v>
      </c>
      <c r="XEB68" s="56"/>
      <c r="XEC68" s="57"/>
      <c r="XED68" s="57"/>
      <c r="XEE68" s="57"/>
      <c r="XEF68" s="57"/>
      <c r="XEG68" s="57"/>
      <c r="XEH68" s="57"/>
      <c r="XEI68" s="59" t="s">
        <v>77</v>
      </c>
      <c r="XEJ68" s="59" t="s">
        <v>78</v>
      </c>
      <c r="XEK68" s="59" t="s">
        <v>79</v>
      </c>
      <c r="XEL68" s="59" t="s">
        <v>80</v>
      </c>
      <c r="XEM68" s="59" t="s">
        <v>81</v>
      </c>
      <c r="XEN68" s="59" t="s">
        <v>64</v>
      </c>
      <c r="XEO68" s="59" t="s">
        <v>98</v>
      </c>
      <c r="XEP68" s="59" t="s">
        <v>124</v>
      </c>
      <c r="XEQ68" s="59" t="s">
        <v>101</v>
      </c>
      <c r="XER68" s="56"/>
      <c r="XES68" s="57"/>
      <c r="XET68" s="57"/>
      <c r="XEU68" s="57"/>
      <c r="XEV68" s="57"/>
      <c r="XEW68" s="57"/>
      <c r="XEX68" s="57"/>
      <c r="XEY68" s="59" t="s">
        <v>77</v>
      </c>
      <c r="XEZ68" s="59" t="s">
        <v>78</v>
      </c>
      <c r="XFA68" s="59" t="s">
        <v>79</v>
      </c>
      <c r="XFB68" s="59" t="s">
        <v>80</v>
      </c>
      <c r="XFC68" s="59" t="s">
        <v>81</v>
      </c>
      <c r="XFD68" s="59" t="s">
        <v>64</v>
      </c>
    </row>
    <row r="69" spans="2:16384" ht="15" customHeight="1">
      <c r="B69" s="528" t="s">
        <v>45</v>
      </c>
      <c r="C69" s="481" t="s">
        <v>154</v>
      </c>
      <c r="D69" s="468">
        <v>0.11998739999999999</v>
      </c>
      <c r="E69" s="226" t="s">
        <v>192</v>
      </c>
      <c r="F69" s="370">
        <v>56237.974000000002</v>
      </c>
      <c r="G69" s="370">
        <f>2035+6094</f>
        <v>8129</v>
      </c>
      <c r="H69" s="370">
        <f>F69+G69</f>
        <v>64366.974000000002</v>
      </c>
      <c r="I69" s="362">
        <v>67513.441000000006</v>
      </c>
      <c r="J69" s="370">
        <f t="shared" ref="J69:J82" si="162">H69-I69</f>
        <v>-3146.4670000000042</v>
      </c>
      <c r="K69" s="177">
        <f t="shared" ref="K69:K148" si="163">I69/H69</f>
        <v>1.0488832518365707</v>
      </c>
      <c r="L69" s="480">
        <f>F69+F70</f>
        <v>62486.678</v>
      </c>
      <c r="M69" s="493">
        <f>G69+G70</f>
        <v>8129</v>
      </c>
      <c r="N69" s="480">
        <f>L69+M69</f>
        <v>70615.678</v>
      </c>
      <c r="O69" s="493">
        <f t="shared" ref="O69" si="164">I69+I70</f>
        <v>67513.441000000006</v>
      </c>
      <c r="P69" s="479">
        <f>N69-O69</f>
        <v>3102.2369999999937</v>
      </c>
      <c r="Q69" s="465">
        <f>O69/N69</f>
        <v>0.95606872173626944</v>
      </c>
    </row>
    <row r="70" spans="2:16384" ht="15" customHeight="1">
      <c r="B70" s="528"/>
      <c r="C70" s="482"/>
      <c r="D70" s="469"/>
      <c r="E70" s="226" t="s">
        <v>193</v>
      </c>
      <c r="F70" s="370">
        <v>6248.7039999999997</v>
      </c>
      <c r="G70" s="371"/>
      <c r="H70" s="370">
        <f>F70+G70+J69</f>
        <v>3102.2369999999955</v>
      </c>
      <c r="I70" s="362"/>
      <c r="J70" s="370">
        <f t="shared" si="162"/>
        <v>3102.2369999999955</v>
      </c>
      <c r="K70" s="177">
        <f t="shared" si="163"/>
        <v>0</v>
      </c>
      <c r="L70" s="480"/>
      <c r="M70" s="494"/>
      <c r="N70" s="480"/>
      <c r="O70" s="494"/>
      <c r="P70" s="479"/>
      <c r="Q70" s="465"/>
    </row>
    <row r="71" spans="2:16384" ht="15" customHeight="1">
      <c r="B71" s="528"/>
      <c r="C71" s="459" t="s">
        <v>162</v>
      </c>
      <c r="D71" s="461">
        <v>1.0000000000000001E-5</v>
      </c>
      <c r="E71" s="192" t="s">
        <v>192</v>
      </c>
      <c r="F71" s="168">
        <v>4.6870000000000003</v>
      </c>
      <c r="G71" s="168"/>
      <c r="H71" s="168">
        <f>F71+G71</f>
        <v>4.6870000000000003</v>
      </c>
      <c r="I71" s="362">
        <v>3.956</v>
      </c>
      <c r="J71" s="168">
        <f t="shared" si="162"/>
        <v>0.73100000000000032</v>
      </c>
      <c r="K71" s="177">
        <f t="shared" si="163"/>
        <v>0.84403669724770636</v>
      </c>
      <c r="L71" s="463">
        <f t="shared" ref="L71" si="165">F71+F72</f>
        <v>5.2080000000000002</v>
      </c>
      <c r="M71" s="470">
        <f t="shared" ref="M71" si="166">G71+G72</f>
        <v>0</v>
      </c>
      <c r="N71" s="463">
        <f t="shared" ref="N71" si="167">L71+M71</f>
        <v>5.2080000000000002</v>
      </c>
      <c r="O71" s="470">
        <f t="shared" ref="O71" si="168">I71+I72</f>
        <v>3.956</v>
      </c>
      <c r="P71" s="464">
        <f t="shared" ref="P71" si="169">N71-O71</f>
        <v>1.2520000000000002</v>
      </c>
      <c r="Q71" s="465">
        <f t="shared" ref="Q71" si="170">O71/N71</f>
        <v>0.75960061443932403</v>
      </c>
    </row>
    <row r="72" spans="2:16384" ht="15" customHeight="1">
      <c r="B72" s="528"/>
      <c r="C72" s="460"/>
      <c r="D72" s="462"/>
      <c r="E72" s="192" t="s">
        <v>193</v>
      </c>
      <c r="F72" s="168">
        <v>0.52100000000000002</v>
      </c>
      <c r="G72" s="60"/>
      <c r="H72" s="168">
        <f>F72+G72+J71</f>
        <v>1.2520000000000002</v>
      </c>
      <c r="I72" s="362"/>
      <c r="J72" s="168">
        <f t="shared" si="162"/>
        <v>1.2520000000000002</v>
      </c>
      <c r="K72" s="177">
        <f t="shared" si="163"/>
        <v>0</v>
      </c>
      <c r="L72" s="463"/>
      <c r="M72" s="471"/>
      <c r="N72" s="463"/>
      <c r="O72" s="471"/>
      <c r="P72" s="464"/>
      <c r="Q72" s="465"/>
    </row>
    <row r="73" spans="2:16384" ht="15" customHeight="1">
      <c r="B73" s="528"/>
      <c r="C73" s="459" t="s">
        <v>157</v>
      </c>
      <c r="D73" s="461">
        <v>0.20704020000000001</v>
      </c>
      <c r="E73" s="192" t="s">
        <v>192</v>
      </c>
      <c r="F73" s="168">
        <v>97039.535000000003</v>
      </c>
      <c r="G73" s="168">
        <f>-52.078-78.117-1680-1679-3000</f>
        <v>-6489.1949999999997</v>
      </c>
      <c r="H73" s="168">
        <f>F73+G73</f>
        <v>90550.34</v>
      </c>
      <c r="I73" s="363">
        <v>90917.937999999995</v>
      </c>
      <c r="J73" s="168">
        <f t="shared" si="162"/>
        <v>-367.59799999999814</v>
      </c>
      <c r="K73" s="177">
        <f t="shared" si="163"/>
        <v>1.0040595982301115</v>
      </c>
      <c r="L73" s="463">
        <f t="shared" ref="L73" si="171">F73+F74</f>
        <v>107821.77500000001</v>
      </c>
      <c r="M73" s="470">
        <f t="shared" ref="M73" si="172">G73+G74</f>
        <v>-6489.1949999999997</v>
      </c>
      <c r="N73" s="463">
        <f t="shared" ref="N73" si="173">L73+M73</f>
        <v>101332.58000000002</v>
      </c>
      <c r="O73" s="470">
        <f t="shared" ref="O73" si="174">I73+I74</f>
        <v>90917.937999999995</v>
      </c>
      <c r="P73" s="464">
        <f t="shared" ref="P73" si="175">N73-O73</f>
        <v>10414.642000000022</v>
      </c>
      <c r="Q73" s="465">
        <f t="shared" ref="Q73" si="176">O73/N73</f>
        <v>0.89722316356693943</v>
      </c>
    </row>
    <row r="74" spans="2:16384" ht="15" customHeight="1">
      <c r="B74" s="528"/>
      <c r="C74" s="460"/>
      <c r="D74" s="462"/>
      <c r="E74" s="192" t="s">
        <v>193</v>
      </c>
      <c r="F74" s="168">
        <v>10782.24</v>
      </c>
      <c r="G74" s="60"/>
      <c r="H74" s="168">
        <f>F74+G74+J73</f>
        <v>10414.642000000002</v>
      </c>
      <c r="I74" s="362"/>
      <c r="J74" s="168">
        <f>H74-I74</f>
        <v>10414.642000000002</v>
      </c>
      <c r="K74" s="177">
        <f t="shared" si="163"/>
        <v>0</v>
      </c>
      <c r="L74" s="463"/>
      <c r="M74" s="471"/>
      <c r="N74" s="463"/>
      <c r="O74" s="471"/>
      <c r="P74" s="464"/>
      <c r="Q74" s="465"/>
    </row>
    <row r="75" spans="2:16384" ht="15" customHeight="1">
      <c r="B75" s="528"/>
      <c r="C75" s="482" t="s">
        <v>146</v>
      </c>
      <c r="D75" s="522">
        <v>0.17068630000000001</v>
      </c>
      <c r="E75" s="192" t="s">
        <v>192</v>
      </c>
      <c r="F75" s="169">
        <v>80000.498000000007</v>
      </c>
      <c r="G75" s="310">
        <f>1150.917+5349.314+1440-1232.523+8407.586</f>
        <v>15115.293999999998</v>
      </c>
      <c r="H75" s="169">
        <f>F75+G75</f>
        <v>95115.792000000001</v>
      </c>
      <c r="I75" s="362">
        <v>89837.789000000004</v>
      </c>
      <c r="J75" s="169">
        <f t="shared" si="162"/>
        <v>5278.002999999997</v>
      </c>
      <c r="K75" s="180">
        <f t="shared" si="163"/>
        <v>0.94450970875582896</v>
      </c>
      <c r="L75" s="463">
        <f t="shared" ref="L75" si="177">F75+F76</f>
        <v>88889.499000000011</v>
      </c>
      <c r="M75" s="470">
        <f t="shared" ref="M75" si="178">G75+G76</f>
        <v>15115.293999999998</v>
      </c>
      <c r="N75" s="463">
        <f t="shared" ref="N75" si="179">L75+M75</f>
        <v>104004.79300000001</v>
      </c>
      <c r="O75" s="470">
        <f t="shared" ref="O75" si="180">I75+I76</f>
        <v>89837.789000000004</v>
      </c>
      <c r="P75" s="464">
        <f t="shared" ref="P75" si="181">N75-O75</f>
        <v>14167.004000000001</v>
      </c>
      <c r="Q75" s="465">
        <f t="shared" ref="Q75" si="182">O75/N75</f>
        <v>0.86378508536621001</v>
      </c>
    </row>
    <row r="76" spans="2:16384" ht="15" customHeight="1">
      <c r="B76" s="528"/>
      <c r="C76" s="533"/>
      <c r="D76" s="523"/>
      <c r="E76" s="192" t="s">
        <v>193</v>
      </c>
      <c r="F76" s="169">
        <v>8889.0010000000002</v>
      </c>
      <c r="G76" s="172"/>
      <c r="H76" s="169">
        <f>F76+G76+J75</f>
        <v>14167.003999999997</v>
      </c>
      <c r="I76" s="362"/>
      <c r="J76" s="169">
        <f>H76-I76</f>
        <v>14167.003999999997</v>
      </c>
      <c r="K76" s="180">
        <f t="shared" si="163"/>
        <v>0</v>
      </c>
      <c r="L76" s="463"/>
      <c r="M76" s="471"/>
      <c r="N76" s="463"/>
      <c r="O76" s="471"/>
      <c r="P76" s="464"/>
      <c r="Q76" s="465"/>
    </row>
    <row r="77" spans="2:16384" ht="15" customHeight="1">
      <c r="B77" s="528"/>
      <c r="C77" s="475" t="s">
        <v>147</v>
      </c>
      <c r="D77" s="468">
        <v>2.2100000000000002E-3</v>
      </c>
      <c r="E77" s="226" t="s">
        <v>192</v>
      </c>
      <c r="F77" s="361">
        <v>1035.825</v>
      </c>
      <c r="G77" s="361">
        <f>-1150.917+1232.523</f>
        <v>81.605999999999995</v>
      </c>
      <c r="H77" s="361">
        <f>F77+G77</f>
        <v>1117.431</v>
      </c>
      <c r="I77" s="362"/>
      <c r="J77" s="169">
        <f t="shared" ref="J77" si="183">H77-I77</f>
        <v>1117.431</v>
      </c>
      <c r="K77" s="180">
        <f>I77/H77</f>
        <v>0</v>
      </c>
      <c r="L77" s="463">
        <f t="shared" ref="L77" si="184">F77+F78</f>
        <v>1150.9170000000001</v>
      </c>
      <c r="M77" s="470">
        <f t="shared" ref="M77" si="185">G77+G78</f>
        <v>81.605999999999995</v>
      </c>
      <c r="N77" s="463">
        <f t="shared" ref="N77" si="186">L77+M77</f>
        <v>1232.5230000000001</v>
      </c>
      <c r="O77" s="470">
        <f t="shared" ref="O77" si="187">I77+I78</f>
        <v>0</v>
      </c>
      <c r="P77" s="464">
        <f t="shared" ref="P77" si="188">N77-O77</f>
        <v>1232.5230000000001</v>
      </c>
      <c r="Q77" s="465">
        <f t="shared" ref="Q77" si="189">O77/N77</f>
        <v>0</v>
      </c>
    </row>
    <row r="78" spans="2:16384" ht="15" customHeight="1">
      <c r="B78" s="528"/>
      <c r="C78" s="520"/>
      <c r="D78" s="469"/>
      <c r="E78" s="226" t="s">
        <v>193</v>
      </c>
      <c r="F78" s="361">
        <v>115.092</v>
      </c>
      <c r="G78" s="316"/>
      <c r="H78" s="361">
        <f>F78+G78+J77</f>
        <v>1232.5230000000001</v>
      </c>
      <c r="I78" s="362"/>
      <c r="J78" s="169">
        <f>H78-I78</f>
        <v>1232.5230000000001</v>
      </c>
      <c r="K78" s="180">
        <f t="shared" ref="K78" si="190">I78/H78</f>
        <v>0</v>
      </c>
      <c r="L78" s="463"/>
      <c r="M78" s="471"/>
      <c r="N78" s="463"/>
      <c r="O78" s="471"/>
      <c r="P78" s="464"/>
      <c r="Q78" s="465"/>
    </row>
    <row r="79" spans="2:16384" ht="15" customHeight="1">
      <c r="B79" s="528"/>
      <c r="C79" s="481" t="s">
        <v>150</v>
      </c>
      <c r="D79" s="522">
        <v>0.1070715</v>
      </c>
      <c r="E79" s="416" t="s">
        <v>192</v>
      </c>
      <c r="F79" s="169">
        <v>50184.305999999997</v>
      </c>
      <c r="G79" s="169">
        <f>-2343.497+1160+3241.799+1165.296</f>
        <v>3223.598</v>
      </c>
      <c r="H79" s="169">
        <f>F79+G79</f>
        <v>53407.903999999995</v>
      </c>
      <c r="I79" s="362">
        <v>57424.171000000002</v>
      </c>
      <c r="J79" s="169">
        <f t="shared" si="162"/>
        <v>-4016.2670000000071</v>
      </c>
      <c r="K79" s="180">
        <f t="shared" si="163"/>
        <v>1.0751998618032268</v>
      </c>
      <c r="L79" s="536">
        <f t="shared" ref="L79" si="191">F79+F80</f>
        <v>55760.375999999997</v>
      </c>
      <c r="M79" s="539">
        <f t="shared" ref="M79" si="192">G79+G80</f>
        <v>3223.598</v>
      </c>
      <c r="N79" s="536">
        <f t="shared" ref="N79" si="193">L79+M79</f>
        <v>58983.973999999995</v>
      </c>
      <c r="O79" s="539">
        <f t="shared" ref="O79" si="194">I79+I80</f>
        <v>57424.171000000002</v>
      </c>
      <c r="P79" s="538">
        <f t="shared" ref="P79" si="195">N79-O79</f>
        <v>1559.8029999999926</v>
      </c>
      <c r="Q79" s="537">
        <f t="shared" ref="Q79" si="196">O79/N79</f>
        <v>0.97355547796762565</v>
      </c>
    </row>
    <row r="80" spans="2:16384" ht="15" customHeight="1">
      <c r="B80" s="528"/>
      <c r="C80" s="482"/>
      <c r="D80" s="523"/>
      <c r="E80" s="416" t="s">
        <v>193</v>
      </c>
      <c r="F80" s="169">
        <v>5576.07</v>
      </c>
      <c r="G80" s="411"/>
      <c r="H80" s="169">
        <f>F80+G80+J79</f>
        <v>1559.8029999999926</v>
      </c>
      <c r="I80" s="362"/>
      <c r="J80" s="169">
        <f t="shared" si="162"/>
        <v>1559.8029999999926</v>
      </c>
      <c r="K80" s="180">
        <f t="shared" si="163"/>
        <v>0</v>
      </c>
      <c r="L80" s="536"/>
      <c r="M80" s="540"/>
      <c r="N80" s="536"/>
      <c r="O80" s="540"/>
      <c r="P80" s="538"/>
      <c r="Q80" s="537"/>
    </row>
    <row r="81" spans="2:17" ht="15" customHeight="1">
      <c r="B81" s="528"/>
      <c r="C81" s="474" t="s">
        <v>180</v>
      </c>
      <c r="D81" s="468">
        <v>1E-4</v>
      </c>
      <c r="E81" s="226" t="s">
        <v>192</v>
      </c>
      <c r="F81" s="361">
        <v>46.87</v>
      </c>
      <c r="G81" s="316"/>
      <c r="H81" s="361">
        <f>F81+G81</f>
        <v>46.87</v>
      </c>
      <c r="I81" s="362"/>
      <c r="J81" s="168">
        <f t="shared" si="162"/>
        <v>46.87</v>
      </c>
      <c r="K81" s="177">
        <f t="shared" si="163"/>
        <v>0</v>
      </c>
      <c r="L81" s="463">
        <f t="shared" ref="L81" si="197">F81+F82</f>
        <v>52.077999999999996</v>
      </c>
      <c r="M81" s="470">
        <f t="shared" ref="M81" si="198">G81+G82</f>
        <v>0</v>
      </c>
      <c r="N81" s="463">
        <f t="shared" ref="N81" si="199">L81+M81</f>
        <v>52.077999999999996</v>
      </c>
      <c r="O81" s="470">
        <f t="shared" ref="O81" si="200">I81+I82</f>
        <v>0</v>
      </c>
      <c r="P81" s="464">
        <f t="shared" ref="P81" si="201">N81-O81</f>
        <v>52.077999999999996</v>
      </c>
      <c r="Q81" s="465">
        <f t="shared" ref="Q81" si="202">O81/N81</f>
        <v>0</v>
      </c>
    </row>
    <row r="82" spans="2:17" ht="15" customHeight="1">
      <c r="B82" s="528"/>
      <c r="C82" s="475"/>
      <c r="D82" s="469"/>
      <c r="E82" s="226" t="s">
        <v>193</v>
      </c>
      <c r="F82" s="361">
        <v>5.2080000000000002</v>
      </c>
      <c r="G82" s="316"/>
      <c r="H82" s="361">
        <f>F82+G82+J81</f>
        <v>52.077999999999996</v>
      </c>
      <c r="I82" s="362"/>
      <c r="J82" s="168">
        <f t="shared" si="162"/>
        <v>52.077999999999996</v>
      </c>
      <c r="K82" s="177">
        <f t="shared" si="163"/>
        <v>0</v>
      </c>
      <c r="L82" s="463"/>
      <c r="M82" s="471"/>
      <c r="N82" s="463"/>
      <c r="O82" s="471"/>
      <c r="P82" s="464"/>
      <c r="Q82" s="465"/>
    </row>
    <row r="83" spans="2:17" ht="15" customHeight="1">
      <c r="B83" s="528"/>
      <c r="C83" s="474" t="s">
        <v>163</v>
      </c>
      <c r="D83" s="468">
        <v>8.4999999999999999E-6</v>
      </c>
      <c r="E83" s="226" t="s">
        <v>192</v>
      </c>
      <c r="F83" s="361">
        <v>3.984</v>
      </c>
      <c r="G83" s="361"/>
      <c r="H83" s="361">
        <f>F83+G83</f>
        <v>3.984</v>
      </c>
      <c r="I83" s="362"/>
      <c r="J83" s="168">
        <f t="shared" ref="J83:J90" si="203">H83-I83</f>
        <v>3.984</v>
      </c>
      <c r="K83" s="177">
        <f t="shared" si="163"/>
        <v>0</v>
      </c>
      <c r="L83" s="463">
        <f t="shared" ref="L83" si="204">F83+F84</f>
        <v>4.4269999999999996</v>
      </c>
      <c r="M83" s="470">
        <f t="shared" ref="M83" si="205">G83+G84</f>
        <v>0</v>
      </c>
      <c r="N83" s="463">
        <f t="shared" ref="N83" si="206">L83+M83</f>
        <v>4.4269999999999996</v>
      </c>
      <c r="O83" s="470">
        <f t="shared" ref="O83" si="207">I83+I84</f>
        <v>0</v>
      </c>
      <c r="P83" s="464">
        <f t="shared" ref="P83" si="208">N83-O83</f>
        <v>4.4269999999999996</v>
      </c>
      <c r="Q83" s="465">
        <f t="shared" ref="Q83" si="209">O83/N83</f>
        <v>0</v>
      </c>
    </row>
    <row r="84" spans="2:17" ht="15" customHeight="1">
      <c r="B84" s="528"/>
      <c r="C84" s="475"/>
      <c r="D84" s="469"/>
      <c r="E84" s="226" t="s">
        <v>193</v>
      </c>
      <c r="F84" s="361">
        <v>0.443</v>
      </c>
      <c r="G84" s="316"/>
      <c r="H84" s="361">
        <f>F84+G84+J83</f>
        <v>4.4269999999999996</v>
      </c>
      <c r="I84" s="362"/>
      <c r="J84" s="168">
        <f t="shared" si="203"/>
        <v>4.4269999999999996</v>
      </c>
      <c r="K84" s="177">
        <f t="shared" si="163"/>
        <v>0</v>
      </c>
      <c r="L84" s="463"/>
      <c r="M84" s="471"/>
      <c r="N84" s="463"/>
      <c r="O84" s="471"/>
      <c r="P84" s="464"/>
      <c r="Q84" s="465"/>
    </row>
    <row r="85" spans="2:17" ht="15" customHeight="1">
      <c r="B85" s="528"/>
      <c r="C85" s="474" t="s">
        <v>151</v>
      </c>
      <c r="D85" s="468">
        <v>7.8775200000000004E-2</v>
      </c>
      <c r="E85" s="226" t="s">
        <v>192</v>
      </c>
      <c r="F85" s="361">
        <v>36921.858999999997</v>
      </c>
      <c r="G85" s="361">
        <f>389+5940-5.208+1121.63+4028.344</f>
        <v>11473.766</v>
      </c>
      <c r="H85" s="361">
        <f>F85+G85</f>
        <v>48395.625</v>
      </c>
      <c r="I85" s="362">
        <v>48391.642</v>
      </c>
      <c r="J85" s="361">
        <f t="shared" si="203"/>
        <v>3.9830000000001746</v>
      </c>
      <c r="K85" s="177">
        <f t="shared" si="163"/>
        <v>0.99991769917218754</v>
      </c>
      <c r="L85" s="480">
        <f t="shared" ref="L85" si="210">F85+F86</f>
        <v>41024.313999999998</v>
      </c>
      <c r="M85" s="493">
        <f t="shared" ref="M85" si="211">G85+G86</f>
        <v>11473.766</v>
      </c>
      <c r="N85" s="480">
        <f t="shared" ref="N85" si="212">L85+M85</f>
        <v>52498.080000000002</v>
      </c>
      <c r="O85" s="493">
        <f t="shared" ref="O85" si="213">I85+I86</f>
        <v>48391.642</v>
      </c>
      <c r="P85" s="479">
        <f t="shared" ref="P85" si="214">N85-O85</f>
        <v>4106.4380000000019</v>
      </c>
      <c r="Q85" s="465">
        <f t="shared" ref="Q85" si="215">O85/N85</f>
        <v>0.9217792726895917</v>
      </c>
    </row>
    <row r="86" spans="2:17" ht="15" customHeight="1">
      <c r="B86" s="528"/>
      <c r="C86" s="475"/>
      <c r="D86" s="469"/>
      <c r="E86" s="226" t="s">
        <v>193</v>
      </c>
      <c r="F86" s="361">
        <v>4102.4549999999999</v>
      </c>
      <c r="G86" s="316"/>
      <c r="H86" s="361">
        <f>F86+G86+J85</f>
        <v>4106.4380000000001</v>
      </c>
      <c r="I86" s="362"/>
      <c r="J86" s="361">
        <f t="shared" si="203"/>
        <v>4106.4380000000001</v>
      </c>
      <c r="K86" s="177">
        <f t="shared" si="163"/>
        <v>0</v>
      </c>
      <c r="L86" s="480"/>
      <c r="M86" s="494"/>
      <c r="N86" s="480"/>
      <c r="O86" s="494"/>
      <c r="P86" s="479"/>
      <c r="Q86" s="465"/>
    </row>
    <row r="87" spans="2:17" ht="15" customHeight="1">
      <c r="B87" s="528"/>
      <c r="C87" s="474" t="s">
        <v>175</v>
      </c>
      <c r="D87" s="468">
        <v>1.0000000000000001E-5</v>
      </c>
      <c r="E87" s="226" t="s">
        <v>192</v>
      </c>
      <c r="F87" s="361">
        <v>4.6870000000000003</v>
      </c>
      <c r="G87" s="316"/>
      <c r="H87" s="361">
        <f>F87+G87</f>
        <v>4.6870000000000003</v>
      </c>
      <c r="I87" s="362"/>
      <c r="J87" s="168">
        <f t="shared" si="203"/>
        <v>4.6870000000000003</v>
      </c>
      <c r="K87" s="177">
        <f t="shared" si="163"/>
        <v>0</v>
      </c>
      <c r="L87" s="463">
        <f t="shared" ref="L87" si="216">F87+F88</f>
        <v>5.2080000000000002</v>
      </c>
      <c r="M87" s="470">
        <f t="shared" ref="M87" si="217">G87+G88</f>
        <v>0</v>
      </c>
      <c r="N87" s="463">
        <f t="shared" ref="N87" si="218">L87+M87</f>
        <v>5.2080000000000002</v>
      </c>
      <c r="O87" s="470">
        <f t="shared" ref="O87" si="219">I87+I88</f>
        <v>0</v>
      </c>
      <c r="P87" s="464">
        <f t="shared" ref="P87" si="220">N87-O87</f>
        <v>5.2080000000000002</v>
      </c>
      <c r="Q87" s="465">
        <f t="shared" ref="Q87" si="221">O87/N87</f>
        <v>0</v>
      </c>
    </row>
    <row r="88" spans="2:17" ht="15" customHeight="1">
      <c r="B88" s="528"/>
      <c r="C88" s="475"/>
      <c r="D88" s="469"/>
      <c r="E88" s="226" t="s">
        <v>193</v>
      </c>
      <c r="F88" s="361">
        <v>0.52100000000000002</v>
      </c>
      <c r="G88" s="316"/>
      <c r="H88" s="361">
        <f>F88+G88+J87</f>
        <v>5.2080000000000002</v>
      </c>
      <c r="I88" s="362"/>
      <c r="J88" s="168">
        <f t="shared" si="203"/>
        <v>5.2080000000000002</v>
      </c>
      <c r="K88" s="177">
        <f t="shared" si="163"/>
        <v>0</v>
      </c>
      <c r="L88" s="463"/>
      <c r="M88" s="471"/>
      <c r="N88" s="463"/>
      <c r="O88" s="471"/>
      <c r="P88" s="464"/>
      <c r="Q88" s="465"/>
    </row>
    <row r="89" spans="2:17" ht="15" customHeight="1">
      <c r="B89" s="528"/>
      <c r="C89" s="459" t="s">
        <v>164</v>
      </c>
      <c r="D89" s="461">
        <v>1.0000000000000001E-5</v>
      </c>
      <c r="E89" s="192" t="s">
        <v>192</v>
      </c>
      <c r="F89" s="168">
        <v>4.6870000000000003</v>
      </c>
      <c r="G89" s="168"/>
      <c r="H89" s="168">
        <f>F89+G89</f>
        <v>4.6870000000000003</v>
      </c>
      <c r="I89" s="362"/>
      <c r="J89" s="168">
        <f t="shared" si="203"/>
        <v>4.6870000000000003</v>
      </c>
      <c r="K89" s="177">
        <f t="shared" si="163"/>
        <v>0</v>
      </c>
      <c r="L89" s="463">
        <f t="shared" ref="L89" si="222">F89+F90</f>
        <v>5.2080000000000002</v>
      </c>
      <c r="M89" s="470">
        <f t="shared" ref="M89" si="223">G89+G90</f>
        <v>0</v>
      </c>
      <c r="N89" s="463">
        <f t="shared" ref="N89" si="224">L89+M89</f>
        <v>5.2080000000000002</v>
      </c>
      <c r="O89" s="470">
        <f t="shared" ref="O89" si="225">I89+I90</f>
        <v>0</v>
      </c>
      <c r="P89" s="464">
        <f t="shared" ref="P89" si="226">N89-O89</f>
        <v>5.2080000000000002</v>
      </c>
      <c r="Q89" s="465">
        <f t="shared" ref="Q89" si="227">O89/N89</f>
        <v>0</v>
      </c>
    </row>
    <row r="90" spans="2:17" ht="15" customHeight="1">
      <c r="B90" s="528"/>
      <c r="C90" s="460"/>
      <c r="D90" s="462"/>
      <c r="E90" s="192" t="s">
        <v>193</v>
      </c>
      <c r="F90" s="168">
        <v>0.52100000000000002</v>
      </c>
      <c r="G90" s="60"/>
      <c r="H90" s="168">
        <f>F90+G90+J89</f>
        <v>5.2080000000000002</v>
      </c>
      <c r="I90" s="362"/>
      <c r="J90" s="168">
        <f t="shared" si="203"/>
        <v>5.2080000000000002</v>
      </c>
      <c r="K90" s="177">
        <f t="shared" si="163"/>
        <v>0</v>
      </c>
      <c r="L90" s="463"/>
      <c r="M90" s="471"/>
      <c r="N90" s="463"/>
      <c r="O90" s="471"/>
      <c r="P90" s="464"/>
      <c r="Q90" s="465"/>
    </row>
    <row r="91" spans="2:17" ht="15" customHeight="1">
      <c r="B91" s="528"/>
      <c r="C91" s="459" t="s">
        <v>196</v>
      </c>
      <c r="D91" s="468">
        <v>1.0000000000000001E-5</v>
      </c>
      <c r="E91" s="226" t="s">
        <v>192</v>
      </c>
      <c r="F91" s="370">
        <v>4.6870000000000003</v>
      </c>
      <c r="G91" s="226">
        <v>-5.2080000000000002</v>
      </c>
      <c r="H91" s="370">
        <f>F91+G91</f>
        <v>-0.52099999999999991</v>
      </c>
      <c r="I91" s="362"/>
      <c r="J91" s="370">
        <f t="shared" ref="J91:J92" si="228">H91-I91</f>
        <v>-0.52099999999999991</v>
      </c>
      <c r="K91" s="177">
        <f t="shared" ref="K91:K92" si="229">I91/H91</f>
        <v>0</v>
      </c>
      <c r="L91" s="480">
        <f t="shared" ref="L91" si="230">F91+F92</f>
        <v>5.2080000000000002</v>
      </c>
      <c r="M91" s="493">
        <f t="shared" ref="M91" si="231">G91+G92</f>
        <v>-5.2080000000000002</v>
      </c>
      <c r="N91" s="480">
        <f t="shared" ref="N91" si="232">L91+M91</f>
        <v>0</v>
      </c>
      <c r="O91" s="493">
        <f t="shared" ref="O91" si="233">I91+I92</f>
        <v>0</v>
      </c>
      <c r="P91" s="479">
        <f t="shared" ref="P91" si="234">N91-O91</f>
        <v>0</v>
      </c>
      <c r="Q91" s="465" t="e">
        <f t="shared" ref="Q91" si="235">O91/N91</f>
        <v>#DIV/0!</v>
      </c>
    </row>
    <row r="92" spans="2:17" ht="15" customHeight="1">
      <c r="B92" s="528"/>
      <c r="C92" s="460"/>
      <c r="D92" s="469"/>
      <c r="E92" s="226" t="s">
        <v>193</v>
      </c>
      <c r="F92" s="370">
        <v>0.52100000000000002</v>
      </c>
      <c r="G92" s="371"/>
      <c r="H92" s="370">
        <f>F92+G92+J91</f>
        <v>0</v>
      </c>
      <c r="I92" s="362"/>
      <c r="J92" s="370">
        <f t="shared" si="228"/>
        <v>0</v>
      </c>
      <c r="K92" s="177" t="e">
        <f t="shared" si="229"/>
        <v>#DIV/0!</v>
      </c>
      <c r="L92" s="480"/>
      <c r="M92" s="494"/>
      <c r="N92" s="480"/>
      <c r="O92" s="494"/>
      <c r="P92" s="479"/>
      <c r="Q92" s="465"/>
    </row>
    <row r="93" spans="2:17" ht="15" customHeight="1">
      <c r="B93" s="528"/>
      <c r="C93" s="474" t="s">
        <v>197</v>
      </c>
      <c r="D93" s="468">
        <v>2.1297400000000001E-2</v>
      </c>
      <c r="E93" s="226" t="s">
        <v>192</v>
      </c>
      <c r="F93" s="310">
        <v>9982.07</v>
      </c>
      <c r="G93" s="373">
        <f>-2456.9217-3755.531-2439.372-2439.372</f>
        <v>-11091.196699999999</v>
      </c>
      <c r="H93" s="310">
        <f>+F93+G93</f>
        <v>-1109.1266999999989</v>
      </c>
      <c r="I93" s="362"/>
      <c r="J93" s="310">
        <f t="shared" ref="J93:J122" si="236">+H93-I93</f>
        <v>-1109.1266999999989</v>
      </c>
      <c r="K93" s="177">
        <f t="shared" si="163"/>
        <v>0</v>
      </c>
      <c r="L93" s="480">
        <f t="shared" ref="L93" si="237">F93+F94</f>
        <v>11091.197</v>
      </c>
      <c r="M93" s="493">
        <f t="shared" ref="M93" si="238">G93+G94</f>
        <v>-11091.196699999999</v>
      </c>
      <c r="N93" s="480">
        <f t="shared" ref="N93" si="239">L93+M93</f>
        <v>3.0000000151630957E-4</v>
      </c>
      <c r="O93" s="493">
        <f t="shared" ref="O93" si="240">I93+I94</f>
        <v>0</v>
      </c>
      <c r="P93" s="479">
        <f t="shared" ref="P93" si="241">N93-O93</f>
        <v>3.0000000151630957E-4</v>
      </c>
      <c r="Q93" s="465">
        <f t="shared" ref="Q93" si="242">O93/N93</f>
        <v>0</v>
      </c>
    </row>
    <row r="94" spans="2:17" ht="15" customHeight="1">
      <c r="B94" s="528"/>
      <c r="C94" s="475"/>
      <c r="D94" s="469"/>
      <c r="E94" s="226" t="s">
        <v>193</v>
      </c>
      <c r="F94" s="310">
        <v>1109.127</v>
      </c>
      <c r="G94" s="316"/>
      <c r="H94" s="310">
        <f>+J93+F94+G94</f>
        <v>3.0000000106156222E-4</v>
      </c>
      <c r="I94" s="362"/>
      <c r="J94" s="310">
        <f t="shared" si="236"/>
        <v>3.0000000106156222E-4</v>
      </c>
      <c r="K94" s="177">
        <f t="shared" si="163"/>
        <v>0</v>
      </c>
      <c r="L94" s="480"/>
      <c r="M94" s="494"/>
      <c r="N94" s="480"/>
      <c r="O94" s="494"/>
      <c r="P94" s="479"/>
      <c r="Q94" s="465"/>
    </row>
    <row r="95" spans="2:17" ht="15" customHeight="1">
      <c r="B95" s="528"/>
      <c r="C95" s="529" t="s">
        <v>198</v>
      </c>
      <c r="D95" s="461">
        <v>4.6841000000000001E-3</v>
      </c>
      <c r="E95" s="192" t="s">
        <v>192</v>
      </c>
      <c r="F95" s="168">
        <v>2195.433</v>
      </c>
      <c r="G95" s="60">
        <v>-2439.3719999999998</v>
      </c>
      <c r="H95" s="168">
        <f>+F95+G95</f>
        <v>-243.93899999999985</v>
      </c>
      <c r="I95" s="362"/>
      <c r="J95" s="168">
        <f t="shared" si="236"/>
        <v>-243.93899999999985</v>
      </c>
      <c r="K95" s="177">
        <f t="shared" si="163"/>
        <v>0</v>
      </c>
      <c r="L95" s="463">
        <f t="shared" ref="L95" si="243">F95+F96</f>
        <v>2439.3719999999998</v>
      </c>
      <c r="M95" s="470">
        <f t="shared" ref="M95" si="244">G95+G96</f>
        <v>-2439.3719999999998</v>
      </c>
      <c r="N95" s="463">
        <f t="shared" ref="N95" si="245">L95+M95</f>
        <v>0</v>
      </c>
      <c r="O95" s="470">
        <f t="shared" ref="O95" si="246">I95+I96</f>
        <v>0</v>
      </c>
      <c r="P95" s="464">
        <f t="shared" ref="P95" si="247">N95-O95</f>
        <v>0</v>
      </c>
      <c r="Q95" s="465" t="e">
        <f t="shared" ref="Q95" si="248">O95/N95</f>
        <v>#DIV/0!</v>
      </c>
    </row>
    <row r="96" spans="2:17" ht="15" customHeight="1">
      <c r="B96" s="528"/>
      <c r="C96" s="530"/>
      <c r="D96" s="462"/>
      <c r="E96" s="192" t="s">
        <v>193</v>
      </c>
      <c r="F96" s="168">
        <v>243.93899999999999</v>
      </c>
      <c r="G96" s="60"/>
      <c r="H96" s="168">
        <f>+J95+F96+G96</f>
        <v>1.4210854715202004E-13</v>
      </c>
      <c r="I96" s="362"/>
      <c r="J96" s="168">
        <f t="shared" si="236"/>
        <v>1.4210854715202004E-13</v>
      </c>
      <c r="K96" s="177">
        <f t="shared" si="163"/>
        <v>0</v>
      </c>
      <c r="L96" s="463"/>
      <c r="M96" s="471"/>
      <c r="N96" s="463"/>
      <c r="O96" s="471"/>
      <c r="P96" s="464"/>
      <c r="Q96" s="465"/>
    </row>
    <row r="97" spans="2:17" ht="15" customHeight="1">
      <c r="B97" s="528"/>
      <c r="C97" s="459" t="s">
        <v>152</v>
      </c>
      <c r="D97" s="461">
        <v>0.25946469999999999</v>
      </c>
      <c r="E97" s="192" t="s">
        <v>192</v>
      </c>
      <c r="F97" s="168">
        <v>121610.84600000001</v>
      </c>
      <c r="G97" s="60">
        <f>-660+225+1700+1549.779+1000+1000+200-2343.497+455.035-3300-100-4025+4715</f>
        <v>416.31700000000092</v>
      </c>
      <c r="H97" s="168">
        <f>+F97+G97</f>
        <v>122027.163</v>
      </c>
      <c r="I97" s="362">
        <v>133124.598</v>
      </c>
      <c r="J97" s="168">
        <f t="shared" si="236"/>
        <v>-11097.434999999998</v>
      </c>
      <c r="K97" s="177">
        <f t="shared" si="163"/>
        <v>1.0909423338802033</v>
      </c>
      <c r="L97" s="463">
        <f t="shared" ref="L97" si="249">F97+F98</f>
        <v>135123.25900000002</v>
      </c>
      <c r="M97" s="470">
        <f t="shared" ref="M97" si="250">G97+G98</f>
        <v>416.31700000000092</v>
      </c>
      <c r="N97" s="463">
        <f t="shared" ref="N97" si="251">L97+M97</f>
        <v>135539.57600000003</v>
      </c>
      <c r="O97" s="470">
        <f t="shared" ref="O97" si="252">I97+I98</f>
        <v>133124.598</v>
      </c>
      <c r="P97" s="464">
        <f t="shared" ref="P97" si="253">N97-O97</f>
        <v>2414.9780000000319</v>
      </c>
      <c r="Q97" s="465">
        <f t="shared" ref="Q97" si="254">O97/N97</f>
        <v>0.98218248816124354</v>
      </c>
    </row>
    <row r="98" spans="2:17" ht="15" customHeight="1">
      <c r="B98" s="528"/>
      <c r="C98" s="460"/>
      <c r="D98" s="462"/>
      <c r="E98" s="192" t="s">
        <v>193</v>
      </c>
      <c r="F98" s="168">
        <v>13512.413</v>
      </c>
      <c r="G98" s="60"/>
      <c r="H98" s="168">
        <f>+J97+F98+G98</f>
        <v>2414.9780000000028</v>
      </c>
      <c r="I98" s="362"/>
      <c r="J98" s="168">
        <f t="shared" si="236"/>
        <v>2414.9780000000028</v>
      </c>
      <c r="K98" s="177">
        <f t="shared" si="163"/>
        <v>0</v>
      </c>
      <c r="L98" s="463"/>
      <c r="M98" s="471"/>
      <c r="N98" s="463"/>
      <c r="O98" s="471"/>
      <c r="P98" s="464"/>
      <c r="Q98" s="465"/>
    </row>
    <row r="99" spans="2:17" ht="15" customHeight="1">
      <c r="B99" s="528"/>
      <c r="C99" s="459" t="s">
        <v>165</v>
      </c>
      <c r="D99" s="461">
        <v>1.6000000000000001E-4</v>
      </c>
      <c r="E99" s="192" t="s">
        <v>192</v>
      </c>
      <c r="F99" s="168">
        <v>74.992000000000004</v>
      </c>
      <c r="G99" s="60">
        <v>5.2080000000000002</v>
      </c>
      <c r="H99" s="168">
        <f>+F99+G99</f>
        <v>80.2</v>
      </c>
      <c r="I99" s="362">
        <v>34.411000000000001</v>
      </c>
      <c r="J99" s="168">
        <f t="shared" si="236"/>
        <v>45.789000000000001</v>
      </c>
      <c r="K99" s="177">
        <f t="shared" ref="K99:K120" si="255">I99/H99</f>
        <v>0.42906483790523692</v>
      </c>
      <c r="L99" s="463">
        <f t="shared" ref="L99" si="256">F99+F100</f>
        <v>83.324000000000012</v>
      </c>
      <c r="M99" s="470">
        <f t="shared" ref="M99" si="257">G99+G100</f>
        <v>5.2080000000000002</v>
      </c>
      <c r="N99" s="463">
        <f t="shared" ref="N99" si="258">L99+M99</f>
        <v>88.532000000000011</v>
      </c>
      <c r="O99" s="470">
        <f t="shared" ref="O99" si="259">I99+I100</f>
        <v>34.411000000000001</v>
      </c>
      <c r="P99" s="464">
        <f t="shared" ref="P99" si="260">N99-O99</f>
        <v>54.121000000000009</v>
      </c>
      <c r="Q99" s="465">
        <f t="shared" ref="Q99" si="261">O99/N99</f>
        <v>0.38868431753490262</v>
      </c>
    </row>
    <row r="100" spans="2:17" ht="15" customHeight="1">
      <c r="B100" s="528"/>
      <c r="C100" s="460"/>
      <c r="D100" s="462"/>
      <c r="E100" s="192" t="s">
        <v>193</v>
      </c>
      <c r="F100" s="168">
        <v>8.3320000000000007</v>
      </c>
      <c r="G100" s="60"/>
      <c r="H100" s="168">
        <f>+J99+F100+G100</f>
        <v>54.121000000000002</v>
      </c>
      <c r="I100" s="362"/>
      <c r="J100" s="168">
        <f t="shared" si="236"/>
        <v>54.121000000000002</v>
      </c>
      <c r="K100" s="177">
        <f t="shared" si="255"/>
        <v>0</v>
      </c>
      <c r="L100" s="463"/>
      <c r="M100" s="471"/>
      <c r="N100" s="463"/>
      <c r="O100" s="471"/>
      <c r="P100" s="464"/>
      <c r="Q100" s="465"/>
    </row>
    <row r="101" spans="2:17" ht="15" customHeight="1">
      <c r="B101" s="528"/>
      <c r="C101" s="534" t="s">
        <v>199</v>
      </c>
      <c r="D101" s="491">
        <v>2.8086699999999999E-2</v>
      </c>
      <c r="E101" s="419" t="s">
        <v>192</v>
      </c>
      <c r="F101" s="420">
        <v>13164.209000000001</v>
      </c>
      <c r="G101" s="421">
        <f>6808.488+2771+115.312+1-505.153+2439.372-1505.044+310.392+2439.372</f>
        <v>12874.739</v>
      </c>
      <c r="H101" s="420">
        <f>+F101+G101</f>
        <v>26038.948</v>
      </c>
      <c r="I101" s="421">
        <v>25039.572</v>
      </c>
      <c r="J101" s="420">
        <f t="shared" ref="J101:J102" si="262">+H101-I101</f>
        <v>999.3760000000002</v>
      </c>
      <c r="K101" s="422">
        <f t="shared" ref="K101:K102" si="263">I101/H101</f>
        <v>0.96161995484610208</v>
      </c>
      <c r="L101" s="495">
        <f t="shared" ref="L101" si="264">F101+F102</f>
        <v>14626.91</v>
      </c>
      <c r="M101" s="477">
        <f t="shared" ref="M101" si="265">G101+G102</f>
        <v>12874.739</v>
      </c>
      <c r="N101" s="495">
        <f t="shared" ref="N101" si="266">L101+M101</f>
        <v>27501.648999999998</v>
      </c>
      <c r="O101" s="477">
        <f t="shared" ref="O101" si="267">I101+I102</f>
        <v>25039.572</v>
      </c>
      <c r="P101" s="497">
        <f t="shared" ref="P101" si="268">N101-O101</f>
        <v>2462.0769999999975</v>
      </c>
      <c r="Q101" s="496">
        <f t="shared" ref="Q101" si="269">O101/N101</f>
        <v>0.91047529549955353</v>
      </c>
    </row>
    <row r="102" spans="2:17" ht="15" customHeight="1">
      <c r="B102" s="528"/>
      <c r="C102" s="535"/>
      <c r="D102" s="492"/>
      <c r="E102" s="419" t="s">
        <v>193</v>
      </c>
      <c r="F102" s="420">
        <v>1462.701</v>
      </c>
      <c r="G102" s="421"/>
      <c r="H102" s="420">
        <f>+J101+F102+G102</f>
        <v>2462.0770000000002</v>
      </c>
      <c r="I102" s="421"/>
      <c r="J102" s="420">
        <f t="shared" si="262"/>
        <v>2462.0770000000002</v>
      </c>
      <c r="K102" s="422">
        <f t="shared" si="263"/>
        <v>0</v>
      </c>
      <c r="L102" s="495"/>
      <c r="M102" s="478"/>
      <c r="N102" s="495"/>
      <c r="O102" s="478"/>
      <c r="P102" s="497"/>
      <c r="Q102" s="496"/>
    </row>
    <row r="103" spans="2:17" ht="15" customHeight="1">
      <c r="B103" s="528"/>
      <c r="C103" s="474" t="s">
        <v>166</v>
      </c>
      <c r="D103" s="468">
        <v>3.2810000000000001E-4</v>
      </c>
      <c r="E103" s="226" t="s">
        <v>192</v>
      </c>
      <c r="F103" s="360">
        <v>153.78</v>
      </c>
      <c r="G103" s="316"/>
      <c r="H103" s="360">
        <f>+F103+G103</f>
        <v>153.78</v>
      </c>
      <c r="I103" s="362"/>
      <c r="J103" s="168">
        <f t="shared" si="236"/>
        <v>153.78</v>
      </c>
      <c r="K103" s="177">
        <f t="shared" si="255"/>
        <v>0</v>
      </c>
      <c r="L103" s="463">
        <f t="shared" ref="L103" si="270">F103+F104</f>
        <v>170.86699999999999</v>
      </c>
      <c r="M103" s="470">
        <f t="shared" ref="M103" si="271">G103+G104</f>
        <v>0</v>
      </c>
      <c r="N103" s="463">
        <f t="shared" ref="N103" si="272">L103+M103</f>
        <v>170.86699999999999</v>
      </c>
      <c r="O103" s="470">
        <f t="shared" ref="O103" si="273">I103+I104</f>
        <v>0</v>
      </c>
      <c r="P103" s="464">
        <f t="shared" ref="P103" si="274">N103-O103</f>
        <v>170.86699999999999</v>
      </c>
      <c r="Q103" s="465">
        <f t="shared" ref="Q103" si="275">O103/N103</f>
        <v>0</v>
      </c>
    </row>
    <row r="104" spans="2:17" ht="15" customHeight="1">
      <c r="B104" s="528"/>
      <c r="C104" s="475"/>
      <c r="D104" s="469"/>
      <c r="E104" s="226" t="s">
        <v>193</v>
      </c>
      <c r="F104" s="360">
        <v>17.087</v>
      </c>
      <c r="G104" s="316"/>
      <c r="H104" s="360">
        <f>+J103+F104+G104</f>
        <v>170.86699999999999</v>
      </c>
      <c r="I104" s="362"/>
      <c r="J104" s="168">
        <f t="shared" si="236"/>
        <v>170.86699999999999</v>
      </c>
      <c r="K104" s="177">
        <f t="shared" si="255"/>
        <v>0</v>
      </c>
      <c r="L104" s="463"/>
      <c r="M104" s="471"/>
      <c r="N104" s="463"/>
      <c r="O104" s="471"/>
      <c r="P104" s="464"/>
      <c r="Q104" s="465"/>
    </row>
    <row r="105" spans="2:17" ht="15" customHeight="1">
      <c r="B105" s="528"/>
      <c r="C105" s="459" t="s">
        <v>200</v>
      </c>
      <c r="D105" s="461">
        <v>1.0000000000000001E-5</v>
      </c>
      <c r="E105" s="192" t="s">
        <v>192</v>
      </c>
      <c r="F105" s="168">
        <v>4.6870000000000003</v>
      </c>
      <c r="G105" s="60">
        <v>5.2080000000000002</v>
      </c>
      <c r="H105" s="168">
        <f>+F105+G105</f>
        <v>9.8949999999999996</v>
      </c>
      <c r="I105" s="362"/>
      <c r="J105" s="168">
        <f t="shared" ref="J105:J106" si="276">+H105-I105</f>
        <v>9.8949999999999996</v>
      </c>
      <c r="K105" s="177">
        <f t="shared" ref="K105:K106" si="277">I105/H105</f>
        <v>0</v>
      </c>
      <c r="L105" s="463">
        <f t="shared" ref="L105" si="278">F105+F106</f>
        <v>5.2080000000000002</v>
      </c>
      <c r="M105" s="470">
        <f t="shared" ref="M105" si="279">G105+G106</f>
        <v>5.2080000000000002</v>
      </c>
      <c r="N105" s="463">
        <f t="shared" ref="N105" si="280">L105+M105</f>
        <v>10.416</v>
      </c>
      <c r="O105" s="470">
        <f t="shared" ref="O105" si="281">I105+I106</f>
        <v>0</v>
      </c>
      <c r="P105" s="464">
        <f t="shared" ref="P105" si="282">N105-O105</f>
        <v>10.416</v>
      </c>
      <c r="Q105" s="465">
        <f t="shared" ref="Q105" si="283">O105/N105</f>
        <v>0</v>
      </c>
    </row>
    <row r="106" spans="2:17" ht="15" customHeight="1">
      <c r="B106" s="528"/>
      <c r="C106" s="460"/>
      <c r="D106" s="462"/>
      <c r="E106" s="192" t="s">
        <v>193</v>
      </c>
      <c r="F106" s="168">
        <v>0.52100000000000002</v>
      </c>
      <c r="G106" s="60"/>
      <c r="H106" s="168">
        <f>+J105+F106+G106</f>
        <v>10.416</v>
      </c>
      <c r="I106" s="362"/>
      <c r="J106" s="168">
        <f t="shared" si="276"/>
        <v>10.416</v>
      </c>
      <c r="K106" s="177">
        <f t="shared" si="277"/>
        <v>0</v>
      </c>
      <c r="L106" s="463"/>
      <c r="M106" s="471"/>
      <c r="N106" s="463"/>
      <c r="O106" s="471"/>
      <c r="P106" s="464"/>
      <c r="Q106" s="465"/>
    </row>
    <row r="107" spans="2:17" ht="15" customHeight="1">
      <c r="B107" s="528"/>
      <c r="C107" s="459" t="s">
        <v>254</v>
      </c>
      <c r="D107" s="461">
        <v>0</v>
      </c>
      <c r="E107" s="192" t="s">
        <v>192</v>
      </c>
      <c r="F107" s="168">
        <v>0</v>
      </c>
      <c r="G107" s="60">
        <f>2456.9217-2456.922</f>
        <v>-3.0000000015206751E-4</v>
      </c>
      <c r="H107" s="168">
        <f>+F107+G107</f>
        <v>-3.0000000015206751E-4</v>
      </c>
      <c r="I107" s="362"/>
      <c r="J107" s="168">
        <f t="shared" ref="J107:J108" si="284">+H107-I107</f>
        <v>-3.0000000015206751E-4</v>
      </c>
      <c r="K107" s="177">
        <f t="shared" ref="K107:K110" si="285">I107/H107</f>
        <v>0</v>
      </c>
      <c r="L107" s="463">
        <f t="shared" ref="L107" si="286">F107+F108</f>
        <v>0</v>
      </c>
      <c r="M107" s="470">
        <f t="shared" ref="M107" si="287">G107+G108</f>
        <v>-3.0000000015206751E-4</v>
      </c>
      <c r="N107" s="463">
        <f t="shared" ref="N107" si="288">L107+M107</f>
        <v>-3.0000000015206751E-4</v>
      </c>
      <c r="O107" s="470">
        <f t="shared" ref="O107" si="289">I107+I108</f>
        <v>0</v>
      </c>
      <c r="P107" s="464">
        <f t="shared" ref="P107" si="290">N107-O107</f>
        <v>-3.0000000015206751E-4</v>
      </c>
      <c r="Q107" s="465">
        <f t="shared" ref="Q107" si="291">O107/N107</f>
        <v>0</v>
      </c>
    </row>
    <row r="108" spans="2:17" ht="15" customHeight="1">
      <c r="B108" s="528"/>
      <c r="C108" s="460"/>
      <c r="D108" s="462"/>
      <c r="E108" s="192" t="s">
        <v>193</v>
      </c>
      <c r="F108" s="168">
        <v>0</v>
      </c>
      <c r="G108" s="60"/>
      <c r="H108" s="168">
        <f>+J107+F108+G108</f>
        <v>-3.0000000015206751E-4</v>
      </c>
      <c r="I108" s="362"/>
      <c r="J108" s="168">
        <f t="shared" si="284"/>
        <v>-3.0000000015206751E-4</v>
      </c>
      <c r="K108" s="177">
        <f t="shared" si="285"/>
        <v>0</v>
      </c>
      <c r="L108" s="463"/>
      <c r="M108" s="471"/>
      <c r="N108" s="463"/>
      <c r="O108" s="471"/>
      <c r="P108" s="464"/>
      <c r="Q108" s="465"/>
    </row>
    <row r="109" spans="2:17" ht="15" customHeight="1">
      <c r="B109" s="528"/>
      <c r="C109" s="474" t="s">
        <v>253</v>
      </c>
      <c r="D109" s="468">
        <v>0</v>
      </c>
      <c r="E109" s="226" t="s">
        <v>192</v>
      </c>
      <c r="F109" s="227">
        <v>0</v>
      </c>
      <c r="G109" s="228">
        <f>2343.497+2343.497</f>
        <v>4686.9939999999997</v>
      </c>
      <c r="H109" s="227">
        <f>F109+G109</f>
        <v>4686.9939999999997</v>
      </c>
      <c r="I109" s="362"/>
      <c r="J109" s="227">
        <f>H109-I109</f>
        <v>4686.9939999999997</v>
      </c>
      <c r="K109" s="177">
        <f t="shared" si="285"/>
        <v>0</v>
      </c>
      <c r="L109" s="463">
        <f t="shared" ref="L109" si="292">F109+F110</f>
        <v>0</v>
      </c>
      <c r="M109" s="470">
        <f t="shared" ref="M109" si="293">G109+G110</f>
        <v>4686.9939999999997</v>
      </c>
      <c r="N109" s="463">
        <f t="shared" ref="N109" si="294">L109+M109</f>
        <v>4686.9939999999997</v>
      </c>
      <c r="O109" s="470">
        <f t="shared" ref="O109" si="295">I109+I110</f>
        <v>0</v>
      </c>
      <c r="P109" s="464">
        <f t="shared" ref="P109" si="296">N109-O109</f>
        <v>4686.9939999999997</v>
      </c>
      <c r="Q109" s="465">
        <f t="shared" ref="Q109" si="297">O109/N109</f>
        <v>0</v>
      </c>
    </row>
    <row r="110" spans="2:17" ht="15" customHeight="1">
      <c r="B110" s="528"/>
      <c r="C110" s="475"/>
      <c r="D110" s="469"/>
      <c r="E110" s="226" t="s">
        <v>193</v>
      </c>
      <c r="F110" s="227">
        <v>0</v>
      </c>
      <c r="G110" s="228"/>
      <c r="H110" s="227">
        <f>J109+F110+G110</f>
        <v>4686.9939999999997</v>
      </c>
      <c r="I110" s="362"/>
      <c r="J110" s="227">
        <f>H110-I110</f>
        <v>4686.9939999999997</v>
      </c>
      <c r="K110" s="177">
        <f t="shared" si="285"/>
        <v>0</v>
      </c>
      <c r="L110" s="463"/>
      <c r="M110" s="471"/>
      <c r="N110" s="463"/>
      <c r="O110" s="471"/>
      <c r="P110" s="464"/>
      <c r="Q110" s="465"/>
    </row>
    <row r="111" spans="2:17" ht="15" customHeight="1">
      <c r="B111" s="528"/>
      <c r="C111" s="474" t="s">
        <v>330</v>
      </c>
      <c r="D111" s="468">
        <v>0</v>
      </c>
      <c r="E111" s="226" t="s">
        <v>192</v>
      </c>
      <c r="F111" s="227">
        <v>0</v>
      </c>
      <c r="G111" s="228">
        <f>2439.372-960.367-1479.005</f>
        <v>0</v>
      </c>
      <c r="H111" s="227">
        <f>F111+G111</f>
        <v>0</v>
      </c>
      <c r="I111" s="362"/>
      <c r="J111" s="227">
        <f>H111-I111</f>
        <v>0</v>
      </c>
      <c r="K111" s="177" t="e">
        <f t="shared" ref="K111:K112" si="298">I111/H111</f>
        <v>#DIV/0!</v>
      </c>
      <c r="L111" s="463">
        <f t="shared" ref="L111" si="299">F111+F112</f>
        <v>0</v>
      </c>
      <c r="M111" s="470">
        <f t="shared" ref="M111" si="300">G111+G112</f>
        <v>0</v>
      </c>
      <c r="N111" s="463">
        <f t="shared" ref="N111" si="301">L111+M111</f>
        <v>0</v>
      </c>
      <c r="O111" s="470">
        <f t="shared" ref="O111" si="302">I111+I112</f>
        <v>0</v>
      </c>
      <c r="P111" s="464">
        <f t="shared" ref="P111" si="303">N111-O111</f>
        <v>0</v>
      </c>
      <c r="Q111" s="465" t="e">
        <f t="shared" ref="Q111" si="304">O111/N111</f>
        <v>#DIV/0!</v>
      </c>
    </row>
    <row r="112" spans="2:17" ht="15" customHeight="1">
      <c r="B112" s="528"/>
      <c r="C112" s="475"/>
      <c r="D112" s="469"/>
      <c r="E112" s="226" t="s">
        <v>193</v>
      </c>
      <c r="F112" s="227">
        <v>0</v>
      </c>
      <c r="G112" s="228"/>
      <c r="H112" s="227">
        <f>J111+F112+G112</f>
        <v>0</v>
      </c>
      <c r="I112" s="362"/>
      <c r="J112" s="227">
        <f>H112-I112</f>
        <v>0</v>
      </c>
      <c r="K112" s="177" t="e">
        <f t="shared" si="298"/>
        <v>#DIV/0!</v>
      </c>
      <c r="L112" s="463"/>
      <c r="M112" s="471"/>
      <c r="N112" s="463"/>
      <c r="O112" s="471"/>
      <c r="P112" s="464"/>
      <c r="Q112" s="465"/>
    </row>
    <row r="113" spans="2:17" ht="15" customHeight="1">
      <c r="B113" s="528"/>
      <c r="C113" s="533" t="s">
        <v>184</v>
      </c>
      <c r="D113" s="487">
        <v>5.0000000000000002E-5</v>
      </c>
      <c r="E113" s="192" t="s">
        <v>192</v>
      </c>
      <c r="F113" s="168">
        <v>23.434999999999999</v>
      </c>
      <c r="G113" s="60">
        <v>-26.039000000000001</v>
      </c>
      <c r="H113" s="168">
        <f>+F113+G113</f>
        <v>-2.6040000000000028</v>
      </c>
      <c r="I113" s="362"/>
      <c r="J113" s="168">
        <f t="shared" si="236"/>
        <v>-2.6040000000000028</v>
      </c>
      <c r="K113" s="177">
        <f t="shared" si="255"/>
        <v>0</v>
      </c>
      <c r="L113" s="463">
        <f t="shared" ref="L113" si="305">F113+F114</f>
        <v>26.038999999999998</v>
      </c>
      <c r="M113" s="470">
        <f t="shared" ref="M113" si="306">G113+G114</f>
        <v>-26.039000000000001</v>
      </c>
      <c r="N113" s="463">
        <f t="shared" ref="N113" si="307">L113+M113</f>
        <v>0</v>
      </c>
      <c r="O113" s="470">
        <f t="shared" ref="O113" si="308">I113+I114</f>
        <v>0</v>
      </c>
      <c r="P113" s="464">
        <f t="shared" ref="P113" si="309">N113-O113</f>
        <v>0</v>
      </c>
      <c r="Q113" s="465" t="e">
        <f t="shared" ref="Q113" si="310">O113/N113</f>
        <v>#DIV/0!</v>
      </c>
    </row>
    <row r="114" spans="2:17">
      <c r="B114" s="528"/>
      <c r="C114" s="481"/>
      <c r="D114" s="487"/>
      <c r="E114" s="192" t="s">
        <v>193</v>
      </c>
      <c r="F114" s="170">
        <v>2.6040000000000001</v>
      </c>
      <c r="G114" s="167"/>
      <c r="H114" s="289">
        <f>H115+F114+G114</f>
        <v>2.6040000000000001</v>
      </c>
      <c r="I114" s="364"/>
      <c r="J114" s="170">
        <f t="shared" si="236"/>
        <v>2.6040000000000001</v>
      </c>
      <c r="K114" s="182">
        <f t="shared" si="255"/>
        <v>0</v>
      </c>
      <c r="L114" s="463"/>
      <c r="M114" s="471"/>
      <c r="N114" s="463"/>
      <c r="O114" s="471"/>
      <c r="P114" s="464"/>
      <c r="Q114" s="465"/>
    </row>
    <row r="115" spans="2:17">
      <c r="B115" s="528"/>
      <c r="C115" s="481" t="s">
        <v>338</v>
      </c>
      <c r="D115" s="461">
        <v>0</v>
      </c>
      <c r="E115" s="192" t="s">
        <v>192</v>
      </c>
      <c r="F115" s="288"/>
      <c r="G115" s="290">
        <f>2439.372-2439.372</f>
        <v>0</v>
      </c>
      <c r="H115" s="289">
        <f t="shared" ref="H115:H116" si="311">+F115+G115</f>
        <v>0</v>
      </c>
      <c r="I115" s="362"/>
      <c r="J115" s="289">
        <f t="shared" si="236"/>
        <v>0</v>
      </c>
      <c r="K115" s="177" t="e">
        <f t="shared" si="255"/>
        <v>#DIV/0!</v>
      </c>
      <c r="L115" s="463">
        <f t="shared" ref="L115" si="312">F115+F116</f>
        <v>0</v>
      </c>
      <c r="M115" s="470">
        <f t="shared" ref="M115" si="313">G115+G116</f>
        <v>0</v>
      </c>
      <c r="N115" s="463">
        <f t="shared" ref="N115" si="314">L115+M115</f>
        <v>0</v>
      </c>
      <c r="O115" s="470">
        <f t="shared" ref="O115" si="315">I115+I116</f>
        <v>0</v>
      </c>
      <c r="P115" s="464">
        <f t="shared" ref="P115" si="316">N115-O115</f>
        <v>0</v>
      </c>
      <c r="Q115" s="465" t="e">
        <f t="shared" ref="Q115" si="317">O115/N115</f>
        <v>#DIV/0!</v>
      </c>
    </row>
    <row r="116" spans="2:17">
      <c r="B116" s="528"/>
      <c r="C116" s="482"/>
      <c r="D116" s="462"/>
      <c r="E116" s="192" t="s">
        <v>193</v>
      </c>
      <c r="F116" s="288"/>
      <c r="G116" s="290"/>
      <c r="H116" s="289">
        <f t="shared" si="311"/>
        <v>0</v>
      </c>
      <c r="I116" s="364"/>
      <c r="J116" s="288">
        <f t="shared" si="236"/>
        <v>0</v>
      </c>
      <c r="K116" s="182" t="e">
        <f t="shared" si="255"/>
        <v>#DIV/0!</v>
      </c>
      <c r="L116" s="463"/>
      <c r="M116" s="471"/>
      <c r="N116" s="463"/>
      <c r="O116" s="471"/>
      <c r="P116" s="464"/>
      <c r="Q116" s="465"/>
    </row>
    <row r="117" spans="2:17">
      <c r="B117" s="528"/>
      <c r="C117" s="466" t="s">
        <v>427</v>
      </c>
      <c r="D117" s="468">
        <v>0</v>
      </c>
      <c r="E117" s="226" t="s">
        <v>192</v>
      </c>
      <c r="F117" s="356"/>
      <c r="G117" s="346">
        <v>52.078000000000003</v>
      </c>
      <c r="H117" s="310">
        <f t="shared" ref="H117:H120" si="318">+F117+G117</f>
        <v>52.078000000000003</v>
      </c>
      <c r="I117" s="362"/>
      <c r="J117" s="310">
        <f t="shared" si="236"/>
        <v>52.078000000000003</v>
      </c>
      <c r="K117" s="177">
        <f t="shared" si="255"/>
        <v>0</v>
      </c>
      <c r="L117" s="463">
        <f t="shared" ref="L117" si="319">F117+F118</f>
        <v>0</v>
      </c>
      <c r="M117" s="470">
        <f t="shared" ref="M117" si="320">G117+G118</f>
        <v>52.078000000000003</v>
      </c>
      <c r="N117" s="463">
        <f t="shared" ref="N117" si="321">L117+M117</f>
        <v>52.078000000000003</v>
      </c>
      <c r="O117" s="470">
        <f t="shared" ref="O117" si="322">I117+I118</f>
        <v>0</v>
      </c>
      <c r="P117" s="464">
        <f t="shared" ref="P117" si="323">N117-O117</f>
        <v>52.078000000000003</v>
      </c>
      <c r="Q117" s="465">
        <f t="shared" ref="Q117" si="324">O117/N117</f>
        <v>0</v>
      </c>
    </row>
    <row r="118" spans="2:17">
      <c r="B118" s="528"/>
      <c r="C118" s="467"/>
      <c r="D118" s="469"/>
      <c r="E118" s="226" t="s">
        <v>193</v>
      </c>
      <c r="F118" s="356"/>
      <c r="G118" s="346"/>
      <c r="H118" s="310">
        <f t="shared" si="318"/>
        <v>0</v>
      </c>
      <c r="I118" s="364"/>
      <c r="J118" s="356">
        <f t="shared" si="236"/>
        <v>0</v>
      </c>
      <c r="K118" s="182" t="e">
        <f>I118/H118</f>
        <v>#DIV/0!</v>
      </c>
      <c r="L118" s="463"/>
      <c r="M118" s="471"/>
      <c r="N118" s="463"/>
      <c r="O118" s="471"/>
      <c r="P118" s="464"/>
      <c r="Q118" s="465"/>
    </row>
    <row r="119" spans="2:17">
      <c r="B119" s="528"/>
      <c r="C119" s="466" t="s">
        <v>428</v>
      </c>
      <c r="D119" s="468">
        <v>0</v>
      </c>
      <c r="E119" s="226" t="s">
        <v>192</v>
      </c>
      <c r="F119" s="356"/>
      <c r="G119" s="346">
        <v>78.117000000000004</v>
      </c>
      <c r="H119" s="310">
        <f t="shared" si="318"/>
        <v>78.117000000000004</v>
      </c>
      <c r="I119" s="362"/>
      <c r="J119" s="310">
        <f t="shared" si="236"/>
        <v>78.117000000000004</v>
      </c>
      <c r="K119" s="177">
        <f t="shared" si="255"/>
        <v>0</v>
      </c>
      <c r="L119" s="463">
        <f t="shared" ref="L119" si="325">F119+F120</f>
        <v>0</v>
      </c>
      <c r="M119" s="470">
        <f t="shared" ref="M119" si="326">G119+G120</f>
        <v>78.117000000000004</v>
      </c>
      <c r="N119" s="463">
        <f t="shared" ref="N119" si="327">L119+M119</f>
        <v>78.117000000000004</v>
      </c>
      <c r="O119" s="470">
        <f t="shared" ref="O119" si="328">I119+I120</f>
        <v>0</v>
      </c>
      <c r="P119" s="464">
        <f t="shared" ref="P119" si="329">N119-O119</f>
        <v>78.117000000000004</v>
      </c>
      <c r="Q119" s="465">
        <f t="shared" ref="Q119" si="330">O119/N119</f>
        <v>0</v>
      </c>
    </row>
    <row r="120" spans="2:17">
      <c r="B120" s="528"/>
      <c r="C120" s="467"/>
      <c r="D120" s="469"/>
      <c r="E120" s="226" t="s">
        <v>193</v>
      </c>
      <c r="F120" s="356"/>
      <c r="G120" s="346"/>
      <c r="H120" s="310">
        <f t="shared" si="318"/>
        <v>0</v>
      </c>
      <c r="I120" s="364"/>
      <c r="J120" s="356">
        <f t="shared" si="236"/>
        <v>0</v>
      </c>
      <c r="K120" s="182" t="e">
        <f t="shared" si="255"/>
        <v>#DIV/0!</v>
      </c>
      <c r="L120" s="463"/>
      <c r="M120" s="471"/>
      <c r="N120" s="463"/>
      <c r="O120" s="471"/>
      <c r="P120" s="464"/>
      <c r="Q120" s="465"/>
    </row>
    <row r="121" spans="2:17">
      <c r="B121" s="528"/>
      <c r="C121" s="531"/>
      <c r="D121" s="461"/>
      <c r="E121" s="75" t="s">
        <v>56</v>
      </c>
      <c r="F121" s="61">
        <f>F69+F71+F73+F75+F77+F79+F81+F83+F85+F87+F89+F91+F93+F95+F97+F99+F101+F103+F105+F113+F107+F109+F111+F115+F117+F119</f>
        <v>468699.05099999998</v>
      </c>
      <c r="G121" s="61">
        <f>G69+G71+G73+G75+G77+G79+G81+G83+G85+G87+G89+G91+G93+G95+G97+G99+G101+G103+G105+G113+G107+G109+G115+G117+G119+G111</f>
        <v>36090.914000000004</v>
      </c>
      <c r="H121" s="61">
        <f>+F121+G121</f>
        <v>504789.96499999997</v>
      </c>
      <c r="I121" s="311">
        <f>I69+I71+I73+I75+I77+I79+I81+I83+I85+I87+I89+I91+I93+I95+I97+I99+I101+I103+I105+I113</f>
        <v>512287.51800000004</v>
      </c>
      <c r="J121" s="61">
        <f>+H121-I121</f>
        <v>-7497.5530000000726</v>
      </c>
      <c r="K121" s="176">
        <f t="shared" si="163"/>
        <v>1.0148528170523359</v>
      </c>
      <c r="L121" s="476">
        <f>SUM(L69:L120)</f>
        <v>520777.07199999999</v>
      </c>
      <c r="M121" s="476">
        <f>SUM(M69:M120)</f>
        <v>36090.914000000004</v>
      </c>
      <c r="N121" s="476">
        <f>L121+M121</f>
        <v>556867.98600000003</v>
      </c>
      <c r="O121" s="476">
        <f>SUM(O69:O120)</f>
        <v>512287.51800000004</v>
      </c>
      <c r="P121" s="483">
        <f>N121-O121</f>
        <v>44580.467999999993</v>
      </c>
      <c r="Q121" s="465">
        <f>O121/N121</f>
        <v>0.91994427921737276</v>
      </c>
    </row>
    <row r="122" spans="2:17">
      <c r="B122" s="528"/>
      <c r="C122" s="532"/>
      <c r="D122" s="462"/>
      <c r="E122" s="60" t="s">
        <v>56</v>
      </c>
      <c r="F122" s="183">
        <f>F70+F72+F74+F76+F78+F80+F82+F84+F86+F88+F90+F92+F94+F96+F98+F100+F102+F104+F106+F114+F108+F110+F112+F116+F118+F120</f>
        <v>52078.021000000001</v>
      </c>
      <c r="G122" s="61">
        <f>G70+G72+G74+G76+G78+G80+G82+G84+G86+G88+G90+G92+G94+G96+G98+G100+G102+G104+G106+G114+G108+G110+G116+G118+G120+G112</f>
        <v>0</v>
      </c>
      <c r="H122" s="61">
        <f>+J121+F122+G122</f>
        <v>44580.467999999928</v>
      </c>
      <c r="I122" s="311">
        <f>I70+I72+I74+I76+I78+I80+I82+I84+I86+I88+I90+I92+I94+I96+I98+I100+I102+I104+I106+I114</f>
        <v>0</v>
      </c>
      <c r="J122" s="61">
        <f t="shared" si="236"/>
        <v>44580.467999999928</v>
      </c>
      <c r="K122" s="176">
        <f t="shared" si="163"/>
        <v>0</v>
      </c>
      <c r="L122" s="476"/>
      <c r="M122" s="476"/>
      <c r="N122" s="476"/>
      <c r="O122" s="476"/>
      <c r="P122" s="483"/>
      <c r="Q122" s="465"/>
    </row>
    <row r="123" spans="2:17">
      <c r="B123" s="528"/>
      <c r="C123" s="526"/>
      <c r="D123" s="351"/>
      <c r="E123" s="61"/>
      <c r="F123" s="61">
        <f>SUM(F121,F122)</f>
        <v>520777.07199999999</v>
      </c>
      <c r="G123" s="65"/>
      <c r="H123" s="66"/>
      <c r="I123" s="314"/>
      <c r="J123" s="73"/>
      <c r="K123" s="73"/>
      <c r="L123" s="73"/>
      <c r="M123" s="74"/>
      <c r="N123" s="68"/>
      <c r="O123" s="55"/>
      <c r="P123" s="55"/>
      <c r="Q123" s="55"/>
    </row>
    <row r="124" spans="2:17">
      <c r="B124" s="35"/>
      <c r="C124" s="132"/>
      <c r="D124" s="350"/>
      <c r="E124" s="65"/>
      <c r="F124" s="65"/>
      <c r="G124" s="65"/>
      <c r="H124" s="66"/>
      <c r="I124" s="314"/>
      <c r="J124" s="73"/>
      <c r="K124" s="73"/>
      <c r="L124" s="73"/>
      <c r="M124" s="74"/>
      <c r="N124" s="68"/>
      <c r="O124" s="55"/>
      <c r="P124" s="55"/>
      <c r="Q124" s="55"/>
    </row>
    <row r="125" spans="2:17">
      <c r="C125" s="76"/>
      <c r="D125" s="352"/>
      <c r="E125" s="76"/>
      <c r="G125" s="76"/>
      <c r="H125" s="77"/>
      <c r="I125" s="315"/>
      <c r="J125" s="76"/>
      <c r="K125" s="76"/>
      <c r="L125" s="76"/>
      <c r="M125" s="78"/>
      <c r="N125" s="79"/>
      <c r="O125" s="55"/>
      <c r="P125" s="55"/>
      <c r="Q125" s="55"/>
    </row>
    <row r="126" spans="2:17" ht="25.5">
      <c r="B126" s="59" t="s">
        <v>98</v>
      </c>
      <c r="C126" s="59" t="s">
        <v>124</v>
      </c>
      <c r="D126" s="349" t="s">
        <v>143</v>
      </c>
      <c r="E126" s="59" t="s">
        <v>101</v>
      </c>
      <c r="F126" s="59" t="s">
        <v>77</v>
      </c>
      <c r="G126" s="59" t="s">
        <v>78</v>
      </c>
      <c r="H126" s="59" t="s">
        <v>79</v>
      </c>
      <c r="I126" s="59" t="s">
        <v>80</v>
      </c>
      <c r="J126" s="59" t="s">
        <v>81</v>
      </c>
      <c r="K126" s="59" t="s">
        <v>64</v>
      </c>
      <c r="L126" s="59" t="s">
        <v>77</v>
      </c>
      <c r="M126" s="59" t="s">
        <v>78</v>
      </c>
      <c r="N126" s="59" t="s">
        <v>79</v>
      </c>
      <c r="O126" s="59" t="s">
        <v>80</v>
      </c>
      <c r="P126" s="59" t="s">
        <v>81</v>
      </c>
      <c r="Q126" s="59" t="s">
        <v>64</v>
      </c>
    </row>
    <row r="127" spans="2:17" ht="15" customHeight="1">
      <c r="B127" s="488" t="s">
        <v>46</v>
      </c>
      <c r="C127" s="466" t="s">
        <v>154</v>
      </c>
      <c r="D127" s="468">
        <v>9.7685499999999995E-2</v>
      </c>
      <c r="E127" s="192" t="s">
        <v>192</v>
      </c>
      <c r="F127" s="168">
        <v>6375.933</v>
      </c>
      <c r="G127" s="168">
        <v>-6094</v>
      </c>
      <c r="H127" s="168">
        <f>F127+G127</f>
        <v>281.93299999999999</v>
      </c>
      <c r="I127" s="363">
        <v>989.06600000000003</v>
      </c>
      <c r="J127" s="168">
        <f t="shared" ref="J127:J146" si="331">H127-I127</f>
        <v>-707.13300000000004</v>
      </c>
      <c r="K127" s="177">
        <f t="shared" si="163"/>
        <v>3.5081597400800901</v>
      </c>
      <c r="L127" s="463">
        <f>F127+F128</f>
        <v>7084.348</v>
      </c>
      <c r="M127" s="470">
        <f>G127+G128</f>
        <v>-6094</v>
      </c>
      <c r="N127" s="463">
        <f>L127+M127</f>
        <v>990.34799999999996</v>
      </c>
      <c r="O127" s="463">
        <f>I127+I128</f>
        <v>989.06600000000003</v>
      </c>
      <c r="P127" s="464">
        <f>N127-O127</f>
        <v>1.2819999999999254</v>
      </c>
      <c r="Q127" s="465">
        <f>O127/N127</f>
        <v>0.99870550553946702</v>
      </c>
    </row>
    <row r="128" spans="2:17">
      <c r="B128" s="488"/>
      <c r="C128" s="472"/>
      <c r="D128" s="469"/>
      <c r="E128" s="192" t="s">
        <v>193</v>
      </c>
      <c r="F128" s="171">
        <v>708.41499999999996</v>
      </c>
      <c r="G128" s="168"/>
      <c r="H128" s="168">
        <f>F128+G128+J127</f>
        <v>1.2819999999999254</v>
      </c>
      <c r="I128" s="363"/>
      <c r="J128" s="168">
        <f t="shared" si="331"/>
        <v>1.2819999999999254</v>
      </c>
      <c r="K128" s="177">
        <f t="shared" si="163"/>
        <v>0</v>
      </c>
      <c r="L128" s="463"/>
      <c r="M128" s="471"/>
      <c r="N128" s="463"/>
      <c r="O128" s="463"/>
      <c r="P128" s="464"/>
      <c r="Q128" s="465"/>
    </row>
    <row r="129" spans="2:17">
      <c r="B129" s="488"/>
      <c r="C129" s="466" t="s">
        <v>156</v>
      </c>
      <c r="D129" s="468">
        <v>8.6379999999999996E-4</v>
      </c>
      <c r="E129" s="192" t="s">
        <v>192</v>
      </c>
      <c r="F129" s="168">
        <v>56.38</v>
      </c>
      <c r="G129" s="168"/>
      <c r="H129" s="168">
        <f>F129+G129</f>
        <v>56.38</v>
      </c>
      <c r="I129" s="363"/>
      <c r="J129" s="168">
        <f t="shared" si="331"/>
        <v>56.38</v>
      </c>
      <c r="K129" s="177">
        <f t="shared" si="163"/>
        <v>0</v>
      </c>
      <c r="L129" s="463">
        <f t="shared" ref="L129" si="332">F129+F130</f>
        <v>62.644000000000005</v>
      </c>
      <c r="M129" s="470">
        <f t="shared" ref="M129" si="333">G129+G130</f>
        <v>0</v>
      </c>
      <c r="N129" s="463">
        <f t="shared" ref="N129" si="334">L129+M129</f>
        <v>62.644000000000005</v>
      </c>
      <c r="O129" s="463">
        <f t="shared" ref="O129" si="335">I129+I130</f>
        <v>0</v>
      </c>
      <c r="P129" s="464">
        <f t="shared" ref="P129" si="336">N129-O129</f>
        <v>62.644000000000005</v>
      </c>
      <c r="Q129" s="465">
        <f t="shared" ref="Q129" si="337">O129/N129</f>
        <v>0</v>
      </c>
    </row>
    <row r="130" spans="2:17">
      <c r="B130" s="488"/>
      <c r="C130" s="472"/>
      <c r="D130" s="469"/>
      <c r="E130" s="192" t="s">
        <v>193</v>
      </c>
      <c r="F130" s="168">
        <v>6.2640000000000002</v>
      </c>
      <c r="G130" s="168"/>
      <c r="H130" s="168">
        <f>F130+G130+J129</f>
        <v>62.644000000000005</v>
      </c>
      <c r="I130" s="363"/>
      <c r="J130" s="168">
        <f t="shared" si="331"/>
        <v>62.644000000000005</v>
      </c>
      <c r="K130" s="177">
        <f t="shared" si="163"/>
        <v>0</v>
      </c>
      <c r="L130" s="463"/>
      <c r="M130" s="471"/>
      <c r="N130" s="463"/>
      <c r="O130" s="463"/>
      <c r="P130" s="464"/>
      <c r="Q130" s="465"/>
    </row>
    <row r="131" spans="2:17">
      <c r="B131" s="488"/>
      <c r="C131" s="466" t="s">
        <v>157</v>
      </c>
      <c r="D131" s="468">
        <v>0.20805940000000001</v>
      </c>
      <c r="E131" s="192" t="s">
        <v>192</v>
      </c>
      <c r="F131" s="171">
        <v>13580.037</v>
      </c>
      <c r="G131" s="168">
        <f>-16.68-18.131-3000</f>
        <v>-3034.8110000000001</v>
      </c>
      <c r="H131" s="168">
        <f>F131+G131</f>
        <v>10545.226000000001</v>
      </c>
      <c r="I131" s="363">
        <v>3971.4119999999998</v>
      </c>
      <c r="J131" s="168">
        <f t="shared" si="331"/>
        <v>6573.8140000000003</v>
      </c>
      <c r="K131" s="177">
        <f t="shared" si="163"/>
        <v>0.37660757578832349</v>
      </c>
      <c r="L131" s="463">
        <f t="shared" ref="L131" si="338">F131+F132</f>
        <v>15088.884</v>
      </c>
      <c r="M131" s="470">
        <f t="shared" ref="M131" si="339">G131+G132</f>
        <v>-3034.8110000000001</v>
      </c>
      <c r="N131" s="463">
        <f t="shared" ref="N131" si="340">L131+M131</f>
        <v>12054.073</v>
      </c>
      <c r="O131" s="463">
        <f t="shared" ref="O131" si="341">I131+I132</f>
        <v>3971.4119999999998</v>
      </c>
      <c r="P131" s="464">
        <f t="shared" ref="P131" si="342">N131-O131</f>
        <v>8082.6610000000001</v>
      </c>
      <c r="Q131" s="465">
        <f t="shared" ref="Q131" si="343">O131/N131</f>
        <v>0.32946639695976621</v>
      </c>
    </row>
    <row r="132" spans="2:17">
      <c r="B132" s="488"/>
      <c r="C132" s="472"/>
      <c r="D132" s="469"/>
      <c r="E132" s="192" t="s">
        <v>193</v>
      </c>
      <c r="F132" s="171">
        <v>1508.847</v>
      </c>
      <c r="G132" s="168"/>
      <c r="H132" s="168">
        <f>F132+G132+J131</f>
        <v>8082.6610000000001</v>
      </c>
      <c r="I132" s="363"/>
      <c r="J132" s="168">
        <f t="shared" si="331"/>
        <v>8082.6610000000001</v>
      </c>
      <c r="K132" s="177">
        <f>I132/H132</f>
        <v>0</v>
      </c>
      <c r="L132" s="463"/>
      <c r="M132" s="471"/>
      <c r="N132" s="463"/>
      <c r="O132" s="463"/>
      <c r="P132" s="464"/>
      <c r="Q132" s="465"/>
    </row>
    <row r="133" spans="2:17">
      <c r="B133" s="488"/>
      <c r="C133" s="472" t="s">
        <v>146</v>
      </c>
      <c r="D133" s="468">
        <v>0.14299030000000001</v>
      </c>
      <c r="E133" s="192" t="s">
        <v>192</v>
      </c>
      <c r="F133" s="171">
        <v>9332.9770000000008</v>
      </c>
      <c r="G133" s="168">
        <f>-352-8407.586</f>
        <v>-8759.5859999999993</v>
      </c>
      <c r="H133" s="168">
        <f>F133+G133</f>
        <v>573.39100000000144</v>
      </c>
      <c r="I133" s="363">
        <v>1607.97</v>
      </c>
      <c r="J133" s="168">
        <f t="shared" si="331"/>
        <v>-1034.5789999999986</v>
      </c>
      <c r="K133" s="177">
        <f t="shared" si="163"/>
        <v>2.804316775115054</v>
      </c>
      <c r="L133" s="463">
        <f t="shared" ref="L133" si="344">F133+F134</f>
        <v>10369.943000000001</v>
      </c>
      <c r="M133" s="470">
        <f t="shared" ref="M133" si="345">G133+G134</f>
        <v>-8759.5859999999993</v>
      </c>
      <c r="N133" s="463">
        <f t="shared" ref="N133" si="346">L133+M133</f>
        <v>1610.3570000000018</v>
      </c>
      <c r="O133" s="463">
        <f t="shared" ref="O133" si="347">I133+I134</f>
        <v>1607.97</v>
      </c>
      <c r="P133" s="464">
        <f t="shared" ref="P133" si="348">N133-O133</f>
        <v>2.3870000000017626</v>
      </c>
      <c r="Q133" s="465">
        <f t="shared" ref="Q133" si="349">O133/N133</f>
        <v>0.99851771998382854</v>
      </c>
    </row>
    <row r="134" spans="2:17">
      <c r="B134" s="488"/>
      <c r="C134" s="473"/>
      <c r="D134" s="469"/>
      <c r="E134" s="192" t="s">
        <v>193</v>
      </c>
      <c r="F134" s="171">
        <v>1036.9659999999999</v>
      </c>
      <c r="G134" s="168"/>
      <c r="H134" s="168">
        <f>F134+G134+J133</f>
        <v>2.3870000000013079</v>
      </c>
      <c r="I134" s="363"/>
      <c r="J134" s="168">
        <f t="shared" si="331"/>
        <v>2.3870000000013079</v>
      </c>
      <c r="K134" s="177">
        <f t="shared" si="163"/>
        <v>0</v>
      </c>
      <c r="L134" s="463"/>
      <c r="M134" s="471"/>
      <c r="N134" s="463"/>
      <c r="O134" s="463"/>
      <c r="P134" s="464"/>
      <c r="Q134" s="465"/>
    </row>
    <row r="135" spans="2:17">
      <c r="B135" s="488"/>
      <c r="C135" s="466" t="s">
        <v>201</v>
      </c>
      <c r="D135" s="468">
        <v>5.6620000000000004E-3</v>
      </c>
      <c r="E135" s="192" t="s">
        <v>192</v>
      </c>
      <c r="F135" s="171">
        <v>369.55900000000003</v>
      </c>
      <c r="G135" s="168">
        <v>-410.62</v>
      </c>
      <c r="H135" s="168">
        <f>F135+G135</f>
        <v>-41.060999999999979</v>
      </c>
      <c r="I135" s="363"/>
      <c r="J135" s="168">
        <f t="shared" si="331"/>
        <v>-41.060999999999979</v>
      </c>
      <c r="K135" s="177">
        <f t="shared" si="163"/>
        <v>0</v>
      </c>
      <c r="L135" s="463">
        <f t="shared" ref="L135" si="350">F135+F136</f>
        <v>410.62</v>
      </c>
      <c r="M135" s="470">
        <f t="shared" ref="M135" si="351">G135+G136</f>
        <v>-410.62</v>
      </c>
      <c r="N135" s="463">
        <f t="shared" ref="N135" si="352">L135+M135</f>
        <v>0</v>
      </c>
      <c r="O135" s="463">
        <f t="shared" ref="O135" si="353">I135+I136</f>
        <v>0</v>
      </c>
      <c r="P135" s="464">
        <f t="shared" ref="P135" si="354">N135-O135</f>
        <v>0</v>
      </c>
      <c r="Q135" s="465" t="e">
        <f t="shared" ref="Q135" si="355">O135/N135</f>
        <v>#DIV/0!</v>
      </c>
    </row>
    <row r="136" spans="2:17">
      <c r="B136" s="488"/>
      <c r="C136" s="472"/>
      <c r="D136" s="469"/>
      <c r="E136" s="192" t="s">
        <v>193</v>
      </c>
      <c r="F136" s="171">
        <v>41.061</v>
      </c>
      <c r="G136" s="168"/>
      <c r="H136" s="168">
        <f>F136+G136+J135</f>
        <v>0</v>
      </c>
      <c r="I136" s="363"/>
      <c r="J136" s="168">
        <f t="shared" si="331"/>
        <v>0</v>
      </c>
      <c r="K136" s="177">
        <f>(G135:G136/F135:F136)*-1</f>
        <v>0</v>
      </c>
      <c r="L136" s="463"/>
      <c r="M136" s="471"/>
      <c r="N136" s="463"/>
      <c r="O136" s="463"/>
      <c r="P136" s="464"/>
      <c r="Q136" s="465"/>
    </row>
    <row r="137" spans="2:17">
      <c r="B137" s="488"/>
      <c r="C137" s="466" t="s">
        <v>150</v>
      </c>
      <c r="D137" s="468">
        <v>9.9748000000000003E-2</v>
      </c>
      <c r="E137" s="226" t="s">
        <v>192</v>
      </c>
      <c r="F137" s="347">
        <v>6510.5190000000002</v>
      </c>
      <c r="G137" s="168">
        <v>543.91499999999996</v>
      </c>
      <c r="H137" s="168">
        <f>F137+G137</f>
        <v>7054.4340000000002</v>
      </c>
      <c r="I137" s="363">
        <v>2133.9140000000002</v>
      </c>
      <c r="J137" s="168">
        <f t="shared" si="331"/>
        <v>4920.5200000000004</v>
      </c>
      <c r="K137" s="177">
        <f t="shared" si="163"/>
        <v>0.30249258834939841</v>
      </c>
      <c r="L137" s="463">
        <f t="shared" ref="L137" si="356">F137+F138</f>
        <v>7233.8879999999999</v>
      </c>
      <c r="M137" s="470">
        <f t="shared" ref="M137" si="357">G137+G138</f>
        <v>543.91499999999996</v>
      </c>
      <c r="N137" s="463">
        <f t="shared" ref="N137" si="358">L137+M137</f>
        <v>7777.8029999999999</v>
      </c>
      <c r="O137" s="463">
        <f t="shared" ref="O137" si="359">I137+I138</f>
        <v>2133.9140000000002</v>
      </c>
      <c r="P137" s="464">
        <f t="shared" ref="P137" si="360">N137-O137</f>
        <v>5643.8889999999992</v>
      </c>
      <c r="Q137" s="465">
        <f t="shared" ref="Q137" si="361">O137/N137</f>
        <v>0.27435948171996644</v>
      </c>
    </row>
    <row r="138" spans="2:17">
      <c r="B138" s="488"/>
      <c r="C138" s="472"/>
      <c r="D138" s="469"/>
      <c r="E138" s="192" t="s">
        <v>193</v>
      </c>
      <c r="F138" s="171">
        <v>723.36900000000003</v>
      </c>
      <c r="G138" s="168"/>
      <c r="H138" s="168">
        <f>F138+G138+J137</f>
        <v>5643.8890000000001</v>
      </c>
      <c r="I138" s="363"/>
      <c r="J138" s="168">
        <f t="shared" si="331"/>
        <v>5643.8890000000001</v>
      </c>
      <c r="K138" s="177">
        <f t="shared" si="163"/>
        <v>0</v>
      </c>
      <c r="L138" s="463"/>
      <c r="M138" s="471"/>
      <c r="N138" s="463"/>
      <c r="O138" s="463"/>
      <c r="P138" s="464"/>
      <c r="Q138" s="465"/>
    </row>
    <row r="139" spans="2:17">
      <c r="B139" s="488"/>
      <c r="C139" s="466" t="s">
        <v>151</v>
      </c>
      <c r="D139" s="468">
        <v>9.5963000000000007E-2</v>
      </c>
      <c r="E139" s="192" t="s">
        <v>192</v>
      </c>
      <c r="F139" s="310">
        <v>6263.4719999999998</v>
      </c>
      <c r="G139" s="168">
        <f>-1.45-4028.344</f>
        <v>-4029.7939999999999</v>
      </c>
      <c r="H139" s="168">
        <f>F139+G139</f>
        <v>2233.6779999999999</v>
      </c>
      <c r="I139" s="363">
        <v>997.44500000000005</v>
      </c>
      <c r="J139" s="168">
        <f t="shared" si="331"/>
        <v>1236.2329999999997</v>
      </c>
      <c r="K139" s="177">
        <f t="shared" si="163"/>
        <v>0.44654824912095659</v>
      </c>
      <c r="L139" s="463">
        <f t="shared" ref="L139" si="362">F139+F140</f>
        <v>6959.3919999999998</v>
      </c>
      <c r="M139" s="470">
        <f t="shared" ref="M139" si="363">G139+G140</f>
        <v>-4029.7939999999999</v>
      </c>
      <c r="N139" s="463">
        <f t="shared" ref="N139" si="364">L139+M139</f>
        <v>2929.598</v>
      </c>
      <c r="O139" s="463">
        <f t="shared" ref="O139" si="365">I139+I140</f>
        <v>997.44500000000005</v>
      </c>
      <c r="P139" s="464">
        <f t="shared" ref="P139" si="366">N139-O139</f>
        <v>1932.1529999999998</v>
      </c>
      <c r="Q139" s="465">
        <f t="shared" ref="Q139" si="367">O139/N139</f>
        <v>0.34047162784791635</v>
      </c>
    </row>
    <row r="140" spans="2:17">
      <c r="B140" s="488"/>
      <c r="C140" s="472"/>
      <c r="D140" s="469"/>
      <c r="E140" s="192" t="s">
        <v>193</v>
      </c>
      <c r="F140" s="310">
        <v>695.92</v>
      </c>
      <c r="G140" s="168"/>
      <c r="H140" s="168">
        <f>F140+G140+J139</f>
        <v>1932.1529999999998</v>
      </c>
      <c r="I140" s="363"/>
      <c r="J140" s="168">
        <f t="shared" si="331"/>
        <v>1932.1529999999998</v>
      </c>
      <c r="K140" s="177">
        <f t="shared" si="163"/>
        <v>0</v>
      </c>
      <c r="L140" s="463"/>
      <c r="M140" s="471"/>
      <c r="N140" s="463"/>
      <c r="O140" s="463"/>
      <c r="P140" s="464"/>
      <c r="Q140" s="465"/>
    </row>
    <row r="141" spans="2:17" s="282" customFormat="1">
      <c r="B141" s="488"/>
      <c r="C141" s="466" t="s">
        <v>160</v>
      </c>
      <c r="D141" s="468">
        <v>1.55233E-2</v>
      </c>
      <c r="E141" s="280" t="s">
        <v>192</v>
      </c>
      <c r="F141" s="310">
        <v>1013.206</v>
      </c>
      <c r="G141" s="281">
        <v>-1125.7809999999999</v>
      </c>
      <c r="H141" s="281">
        <f>F141+G141</f>
        <v>-112.57499999999993</v>
      </c>
      <c r="I141" s="363"/>
      <c r="J141" s="281">
        <f t="shared" si="331"/>
        <v>-112.57499999999993</v>
      </c>
      <c r="K141" s="181">
        <f t="shared" si="163"/>
        <v>0</v>
      </c>
      <c r="L141" s="463">
        <f t="shared" ref="L141" si="368">F141+F142</f>
        <v>1125.7809999999999</v>
      </c>
      <c r="M141" s="470">
        <f t="shared" ref="M141" si="369">G141+G142</f>
        <v>-1125.7809999999999</v>
      </c>
      <c r="N141" s="463">
        <f t="shared" ref="N141" si="370">L141+M141</f>
        <v>0</v>
      </c>
      <c r="O141" s="463">
        <f t="shared" ref="O141" si="371">I141+I142</f>
        <v>0</v>
      </c>
      <c r="P141" s="464">
        <f t="shared" ref="P141" si="372">N141-O141</f>
        <v>0</v>
      </c>
      <c r="Q141" s="465" t="e">
        <f t="shared" ref="Q141" si="373">O141/N141</f>
        <v>#DIV/0!</v>
      </c>
    </row>
    <row r="142" spans="2:17" s="282" customFormat="1">
      <c r="B142" s="488"/>
      <c r="C142" s="472"/>
      <c r="D142" s="469"/>
      <c r="E142" s="280" t="s">
        <v>193</v>
      </c>
      <c r="F142" s="281">
        <v>112.575</v>
      </c>
      <c r="G142" s="281"/>
      <c r="H142" s="281">
        <f>F142+G142+J141</f>
        <v>0</v>
      </c>
      <c r="I142" s="363"/>
      <c r="J142" s="281">
        <f t="shared" si="331"/>
        <v>0</v>
      </c>
      <c r="K142" s="181">
        <f>(G141:G142/F141:F142)*-1</f>
        <v>0</v>
      </c>
      <c r="L142" s="463"/>
      <c r="M142" s="471"/>
      <c r="N142" s="463"/>
      <c r="O142" s="463"/>
      <c r="P142" s="464"/>
      <c r="Q142" s="465"/>
    </row>
    <row r="143" spans="2:17">
      <c r="B143" s="488"/>
      <c r="C143" s="466" t="s">
        <v>152</v>
      </c>
      <c r="D143" s="468">
        <v>0.28947000000000001</v>
      </c>
      <c r="E143" s="192" t="s">
        <v>192</v>
      </c>
      <c r="F143" s="168">
        <v>18893.733</v>
      </c>
      <c r="G143" s="168">
        <f>-652.698-543.915-652.698-5000</f>
        <v>-6849.3109999999997</v>
      </c>
      <c r="H143" s="168">
        <f>F143+G143</f>
        <v>12044.422</v>
      </c>
      <c r="I143" s="363">
        <v>7.6710000000000003</v>
      </c>
      <c r="J143" s="168">
        <f t="shared" si="331"/>
        <v>12036.751</v>
      </c>
      <c r="K143" s="177">
        <f>I143/H143</f>
        <v>6.368923307403211E-4</v>
      </c>
      <c r="L143" s="463">
        <f t="shared" ref="L143" si="374">F143+F144</f>
        <v>20992.972000000002</v>
      </c>
      <c r="M143" s="470">
        <f t="shared" ref="M143" si="375">G143+G144</f>
        <v>-6849.3109999999997</v>
      </c>
      <c r="N143" s="463">
        <f t="shared" ref="N143" si="376">L143+M143</f>
        <v>14143.661000000002</v>
      </c>
      <c r="O143" s="463">
        <f t="shared" ref="O143" si="377">I143+I144</f>
        <v>7.6710000000000003</v>
      </c>
      <c r="P143" s="464">
        <f t="shared" ref="P143" si="378">N143-O143</f>
        <v>14135.990000000002</v>
      </c>
      <c r="Q143" s="465">
        <f t="shared" ref="Q143" si="379">O143/N143</f>
        <v>5.4236311235117971E-4</v>
      </c>
    </row>
    <row r="144" spans="2:17">
      <c r="B144" s="488"/>
      <c r="C144" s="472"/>
      <c r="D144" s="469"/>
      <c r="E144" s="192" t="s">
        <v>193</v>
      </c>
      <c r="F144" s="168">
        <v>2099.239</v>
      </c>
      <c r="G144" s="168"/>
      <c r="H144" s="168">
        <f>F144+G144+J143</f>
        <v>14135.99</v>
      </c>
      <c r="I144" s="363"/>
      <c r="J144" s="168">
        <f t="shared" si="331"/>
        <v>14135.99</v>
      </c>
      <c r="K144" s="177">
        <f>I144/H144</f>
        <v>0</v>
      </c>
      <c r="L144" s="463"/>
      <c r="M144" s="471"/>
      <c r="N144" s="463"/>
      <c r="O144" s="463"/>
      <c r="P144" s="464"/>
      <c r="Q144" s="465"/>
    </row>
    <row r="145" spans="2:17">
      <c r="B145" s="488"/>
      <c r="C145" s="466" t="s">
        <v>165</v>
      </c>
      <c r="D145" s="468">
        <v>3.4E-5</v>
      </c>
      <c r="E145" s="192" t="s">
        <v>192</v>
      </c>
      <c r="F145" s="168">
        <v>2.2189999999999999</v>
      </c>
      <c r="G145" s="168"/>
      <c r="H145" s="168">
        <f>F145+G145</f>
        <v>2.2189999999999999</v>
      </c>
      <c r="I145" s="363"/>
      <c r="J145" s="168">
        <f t="shared" si="331"/>
        <v>2.2189999999999999</v>
      </c>
      <c r="K145" s="177">
        <f t="shared" si="163"/>
        <v>0</v>
      </c>
      <c r="L145" s="463">
        <f t="shared" ref="L145" si="380">F145+F146</f>
        <v>2.4659999999999997</v>
      </c>
      <c r="M145" s="470">
        <f t="shared" ref="M145" si="381">G145+G146</f>
        <v>0</v>
      </c>
      <c r="N145" s="463">
        <f t="shared" ref="N145" si="382">L145+M145</f>
        <v>2.4659999999999997</v>
      </c>
      <c r="O145" s="463">
        <f t="shared" ref="O145" si="383">I145+I146</f>
        <v>0</v>
      </c>
      <c r="P145" s="464">
        <f t="shared" ref="P145" si="384">N145-O145</f>
        <v>2.4659999999999997</v>
      </c>
      <c r="Q145" s="465">
        <f t="shared" ref="Q145" si="385">O145/N145</f>
        <v>0</v>
      </c>
    </row>
    <row r="146" spans="2:17">
      <c r="B146" s="488"/>
      <c r="C146" s="472"/>
      <c r="D146" s="469"/>
      <c r="E146" s="192" t="s">
        <v>193</v>
      </c>
      <c r="F146" s="168">
        <v>0.247</v>
      </c>
      <c r="G146" s="168"/>
      <c r="H146" s="168">
        <f>F146+G146+J145</f>
        <v>2.4659999999999997</v>
      </c>
      <c r="I146" s="363"/>
      <c r="J146" s="168">
        <f t="shared" si="331"/>
        <v>2.4659999999999997</v>
      </c>
      <c r="K146" s="177">
        <f t="shared" si="163"/>
        <v>0</v>
      </c>
      <c r="L146" s="463"/>
      <c r="M146" s="471"/>
      <c r="N146" s="463"/>
      <c r="O146" s="463"/>
      <c r="P146" s="464"/>
      <c r="Q146" s="465"/>
    </row>
    <row r="147" spans="2:17">
      <c r="B147" s="488"/>
      <c r="C147" s="473" t="s">
        <v>202</v>
      </c>
      <c r="D147" s="468">
        <v>8.4999999999999999E-6</v>
      </c>
      <c r="E147" s="192" t="s">
        <v>192</v>
      </c>
      <c r="F147" s="168">
        <v>0.55500000000000005</v>
      </c>
      <c r="G147" s="168"/>
      <c r="H147" s="168">
        <f>+F147+G147</f>
        <v>0.55500000000000005</v>
      </c>
      <c r="I147" s="363"/>
      <c r="J147" s="168">
        <f>+H147-I147</f>
        <v>0.55500000000000005</v>
      </c>
      <c r="K147" s="177">
        <f t="shared" si="163"/>
        <v>0</v>
      </c>
      <c r="L147" s="463">
        <f t="shared" ref="L147" si="386">F147+F148</f>
        <v>0.61699999999999999</v>
      </c>
      <c r="M147" s="470">
        <f t="shared" ref="M147" si="387">G147+G148</f>
        <v>0</v>
      </c>
      <c r="N147" s="463">
        <f t="shared" ref="N147" si="388">L147+M147</f>
        <v>0.61699999999999999</v>
      </c>
      <c r="O147" s="463">
        <f t="shared" ref="O147" si="389">I147+I148</f>
        <v>0</v>
      </c>
      <c r="P147" s="464">
        <f t="shared" ref="P147" si="390">N147-O147</f>
        <v>0.61699999999999999</v>
      </c>
      <c r="Q147" s="465">
        <f t="shared" ref="Q147" si="391">O147/N147</f>
        <v>0</v>
      </c>
    </row>
    <row r="148" spans="2:17">
      <c r="B148" s="488"/>
      <c r="C148" s="473"/>
      <c r="D148" s="469"/>
      <c r="E148" s="192" t="s">
        <v>193</v>
      </c>
      <c r="F148" s="168">
        <v>6.2E-2</v>
      </c>
      <c r="G148" s="168"/>
      <c r="H148" s="168">
        <f>+F148+G148+J147</f>
        <v>0.61699999999999999</v>
      </c>
      <c r="I148" s="363"/>
      <c r="J148" s="168">
        <f>+H148-I148</f>
        <v>0.61699999999999999</v>
      </c>
      <c r="K148" s="177">
        <f t="shared" si="163"/>
        <v>0</v>
      </c>
      <c r="L148" s="463"/>
      <c r="M148" s="471"/>
      <c r="N148" s="463"/>
      <c r="O148" s="463"/>
      <c r="P148" s="464"/>
      <c r="Q148" s="465"/>
    </row>
    <row r="149" spans="2:17">
      <c r="B149" s="488"/>
      <c r="C149" s="473" t="s">
        <v>203</v>
      </c>
      <c r="D149" s="468">
        <v>1.7999999999999999E-2</v>
      </c>
      <c r="E149" s="226" t="s">
        <v>192</v>
      </c>
      <c r="F149" s="285">
        <v>1174.8599999999999</v>
      </c>
      <c r="G149" s="285">
        <f>-435.132-435.132-435.123</f>
        <v>-1305.3869999999999</v>
      </c>
      <c r="H149" s="285">
        <f>+F149+G149</f>
        <v>-130.52700000000004</v>
      </c>
      <c r="I149" s="363"/>
      <c r="J149" s="285">
        <f>+H149-I149</f>
        <v>-130.52700000000004</v>
      </c>
      <c r="K149" s="177">
        <f>((G149+G150)/(F149+F150))*-1</f>
        <v>0.99999310554038778</v>
      </c>
      <c r="L149" s="463">
        <f t="shared" ref="L149" si="392">F149+F150</f>
        <v>1305.396</v>
      </c>
      <c r="M149" s="470">
        <f t="shared" ref="M149" si="393">G149+G150</f>
        <v>-1305.3869999999999</v>
      </c>
      <c r="N149" s="463">
        <f t="shared" ref="N149" si="394">L149+M149</f>
        <v>9.0000000000145519E-3</v>
      </c>
      <c r="O149" s="463">
        <f t="shared" ref="O149" si="395">I149+I150</f>
        <v>0</v>
      </c>
      <c r="P149" s="464">
        <f t="shared" ref="P149" si="396">N149-O149</f>
        <v>9.0000000000145519E-3</v>
      </c>
      <c r="Q149" s="465">
        <f t="shared" ref="Q149" si="397">O149/N149</f>
        <v>0</v>
      </c>
    </row>
    <row r="150" spans="2:17">
      <c r="B150" s="488"/>
      <c r="C150" s="473"/>
      <c r="D150" s="469"/>
      <c r="E150" s="226" t="s">
        <v>193</v>
      </c>
      <c r="F150" s="285">
        <v>130.536</v>
      </c>
      <c r="G150" s="285"/>
      <c r="H150" s="285">
        <f>+F150+G150+J149</f>
        <v>8.9999999999577085E-3</v>
      </c>
      <c r="I150" s="363"/>
      <c r="J150" s="285">
        <f>+H150-I150</f>
        <v>8.9999999999577085E-3</v>
      </c>
      <c r="K150" s="177">
        <f>((G149+G150)/(F149+F150))*-1</f>
        <v>0.99999310554038778</v>
      </c>
      <c r="L150" s="463"/>
      <c r="M150" s="471"/>
      <c r="N150" s="463"/>
      <c r="O150" s="463"/>
      <c r="P150" s="464"/>
      <c r="Q150" s="465"/>
    </row>
    <row r="151" spans="2:17">
      <c r="B151" s="488"/>
      <c r="C151" s="473" t="s">
        <v>199</v>
      </c>
      <c r="D151" s="468">
        <v>2.42437E-2</v>
      </c>
      <c r="E151" s="192" t="s">
        <v>192</v>
      </c>
      <c r="F151" s="168">
        <v>1582.3869999999999</v>
      </c>
      <c r="G151" s="168">
        <f>435.123+410.62+435.132+435.132-3159.552-310.392+1125.781</f>
        <v>-628.15600000000018</v>
      </c>
      <c r="H151" s="168">
        <f>F151+G151</f>
        <v>954.23099999999977</v>
      </c>
      <c r="I151" s="363"/>
      <c r="J151" s="168">
        <f t="shared" ref="J151:J160" si="398">H151-I151</f>
        <v>954.23099999999977</v>
      </c>
      <c r="K151" s="177">
        <f t="shared" ref="K151:K160" si="399">I151/H151</f>
        <v>0</v>
      </c>
      <c r="L151" s="463">
        <f t="shared" ref="L151" si="400">F151+F152</f>
        <v>1758.203</v>
      </c>
      <c r="M151" s="470">
        <f t="shared" ref="M151" si="401">G151+G152</f>
        <v>-628.15600000000018</v>
      </c>
      <c r="N151" s="463">
        <f t="shared" ref="N151" si="402">L151+M151</f>
        <v>1130.0469999999998</v>
      </c>
      <c r="O151" s="463">
        <f t="shared" ref="O151" si="403">I151+I152</f>
        <v>0</v>
      </c>
      <c r="P151" s="464">
        <f t="shared" ref="P151" si="404">N151-O151</f>
        <v>1130.0469999999998</v>
      </c>
      <c r="Q151" s="465">
        <f t="shared" ref="Q151" si="405">O151/N151</f>
        <v>0</v>
      </c>
    </row>
    <row r="152" spans="2:17">
      <c r="B152" s="488"/>
      <c r="C152" s="473"/>
      <c r="D152" s="469"/>
      <c r="E152" s="192" t="s">
        <v>193</v>
      </c>
      <c r="F152" s="168">
        <v>175.816</v>
      </c>
      <c r="G152" s="168"/>
      <c r="H152" s="168">
        <f>F152+G152+J151</f>
        <v>1130.0469999999998</v>
      </c>
      <c r="I152" s="363"/>
      <c r="J152" s="168">
        <f t="shared" si="398"/>
        <v>1130.0469999999998</v>
      </c>
      <c r="K152" s="177">
        <f t="shared" si="399"/>
        <v>0</v>
      </c>
      <c r="L152" s="463"/>
      <c r="M152" s="471"/>
      <c r="N152" s="463"/>
      <c r="O152" s="463"/>
      <c r="P152" s="464"/>
      <c r="Q152" s="465"/>
    </row>
    <row r="153" spans="2:17">
      <c r="B153" s="488"/>
      <c r="C153" s="473" t="s">
        <v>166</v>
      </c>
      <c r="D153" s="468">
        <v>1.6789999999999999E-3</v>
      </c>
      <c r="E153" s="192" t="s">
        <v>192</v>
      </c>
      <c r="F153" s="168">
        <v>109.58799999999999</v>
      </c>
      <c r="G153" s="168">
        <v>3.4000000000000002E-2</v>
      </c>
      <c r="H153" s="168">
        <f>F153+G153</f>
        <v>109.622</v>
      </c>
      <c r="I153" s="363"/>
      <c r="J153" s="168">
        <f t="shared" ref="J153:J156" si="406">H153-I153</f>
        <v>109.622</v>
      </c>
      <c r="K153" s="177">
        <f t="shared" ref="K153:K159" si="407">I153/H153</f>
        <v>0</v>
      </c>
      <c r="L153" s="463">
        <f t="shared" ref="L153" si="408">F153+F154</f>
        <v>121.764</v>
      </c>
      <c r="M153" s="470">
        <f t="shared" ref="M153" si="409">G153+G154</f>
        <v>3.4000000000000002E-2</v>
      </c>
      <c r="N153" s="463">
        <f t="shared" ref="N153" si="410">L153+M153</f>
        <v>121.798</v>
      </c>
      <c r="O153" s="463">
        <f t="shared" ref="O153" si="411">I153+I154</f>
        <v>0</v>
      </c>
      <c r="P153" s="464">
        <f t="shared" ref="P153" si="412">N153-O153</f>
        <v>121.798</v>
      </c>
      <c r="Q153" s="465">
        <f t="shared" ref="Q153" si="413">O153/N153</f>
        <v>0</v>
      </c>
    </row>
    <row r="154" spans="2:17">
      <c r="B154" s="488"/>
      <c r="C154" s="473"/>
      <c r="D154" s="469"/>
      <c r="E154" s="192" t="s">
        <v>193</v>
      </c>
      <c r="F154" s="168">
        <v>12.176</v>
      </c>
      <c r="G154" s="168"/>
      <c r="H154" s="168">
        <f>F154+G154+J153</f>
        <v>121.798</v>
      </c>
      <c r="I154" s="363"/>
      <c r="J154" s="168">
        <f t="shared" si="406"/>
        <v>121.798</v>
      </c>
      <c r="K154" s="177">
        <f t="shared" si="407"/>
        <v>0</v>
      </c>
      <c r="L154" s="463"/>
      <c r="M154" s="471"/>
      <c r="N154" s="463"/>
      <c r="O154" s="463"/>
      <c r="P154" s="464"/>
      <c r="Q154" s="465"/>
    </row>
    <row r="155" spans="2:17">
      <c r="B155" s="488"/>
      <c r="C155" s="474" t="s">
        <v>253</v>
      </c>
      <c r="D155" s="468">
        <v>0</v>
      </c>
      <c r="E155" s="192" t="s">
        <v>192</v>
      </c>
      <c r="F155" s="229"/>
      <c r="G155" s="229">
        <f>652.698+543.915+652.698-543.915</f>
        <v>1305.3959999999997</v>
      </c>
      <c r="H155" s="229">
        <f>F155+G155</f>
        <v>1305.3959999999997</v>
      </c>
      <c r="I155" s="363"/>
      <c r="J155" s="229">
        <f t="shared" si="406"/>
        <v>1305.3959999999997</v>
      </c>
      <c r="K155" s="230">
        <f t="shared" si="399"/>
        <v>0</v>
      </c>
      <c r="L155" s="463">
        <f t="shared" ref="L155" si="414">F155+F156</f>
        <v>0</v>
      </c>
      <c r="M155" s="470">
        <f t="shared" ref="M155" si="415">G155+G156</f>
        <v>1305.3959999999997</v>
      </c>
      <c r="N155" s="463">
        <f t="shared" ref="N155" si="416">L155+M155</f>
        <v>1305.3959999999997</v>
      </c>
      <c r="O155" s="463">
        <f t="shared" ref="O155" si="417">I155+I156</f>
        <v>0</v>
      </c>
      <c r="P155" s="464">
        <f t="shared" ref="P155" si="418">N155-O155</f>
        <v>1305.3959999999997</v>
      </c>
      <c r="Q155" s="465">
        <f t="shared" ref="Q155" si="419">O155/N155</f>
        <v>0</v>
      </c>
    </row>
    <row r="156" spans="2:17">
      <c r="B156" s="488"/>
      <c r="C156" s="475"/>
      <c r="D156" s="469"/>
      <c r="E156" s="192" t="s">
        <v>193</v>
      </c>
      <c r="F156" s="229"/>
      <c r="G156" s="229"/>
      <c r="H156" s="229">
        <f>F156+G156+J155</f>
        <v>1305.3959999999997</v>
      </c>
      <c r="I156" s="363"/>
      <c r="J156" s="229">
        <f t="shared" si="406"/>
        <v>1305.3959999999997</v>
      </c>
      <c r="K156" s="230">
        <f t="shared" si="407"/>
        <v>0</v>
      </c>
      <c r="L156" s="463"/>
      <c r="M156" s="471"/>
      <c r="N156" s="463"/>
      <c r="O156" s="463"/>
      <c r="P156" s="464"/>
      <c r="Q156" s="465"/>
    </row>
    <row r="157" spans="2:17">
      <c r="B157" s="488"/>
      <c r="C157" s="466" t="s">
        <v>161</v>
      </c>
      <c r="D157" s="468">
        <v>6.9999999999999994E-5</v>
      </c>
      <c r="E157" s="280" t="s">
        <v>192</v>
      </c>
      <c r="F157" s="174">
        <v>4.569</v>
      </c>
      <c r="G157" s="174">
        <v>1.45</v>
      </c>
      <c r="H157" s="174">
        <f>F157+G157</f>
        <v>6.0190000000000001</v>
      </c>
      <c r="I157" s="363"/>
      <c r="J157" s="174">
        <f t="shared" si="398"/>
        <v>6.0190000000000001</v>
      </c>
      <c r="K157" s="181">
        <f t="shared" si="407"/>
        <v>0</v>
      </c>
      <c r="L157" s="463">
        <f t="shared" ref="L157" si="420">F157+F158</f>
        <v>5.077</v>
      </c>
      <c r="M157" s="470">
        <f t="shared" ref="M157" si="421">G157+G158</f>
        <v>1.45</v>
      </c>
      <c r="N157" s="463">
        <f t="shared" ref="N157" si="422">L157+M157</f>
        <v>6.5270000000000001</v>
      </c>
      <c r="O157" s="463">
        <f t="shared" ref="O157" si="423">I157+I158</f>
        <v>0</v>
      </c>
      <c r="P157" s="464">
        <f t="shared" ref="P157" si="424">N157-O157</f>
        <v>6.5270000000000001</v>
      </c>
      <c r="Q157" s="465">
        <f t="shared" ref="Q157" si="425">O157/N157</f>
        <v>0</v>
      </c>
    </row>
    <row r="158" spans="2:17">
      <c r="B158" s="488"/>
      <c r="C158" s="467"/>
      <c r="D158" s="469"/>
      <c r="E158" s="280" t="s">
        <v>193</v>
      </c>
      <c r="F158" s="174">
        <v>0.50800000000000001</v>
      </c>
      <c r="G158" s="174"/>
      <c r="H158" s="174">
        <f>F158+G158+J157</f>
        <v>6.5270000000000001</v>
      </c>
      <c r="I158" s="363"/>
      <c r="J158" s="174">
        <f t="shared" si="398"/>
        <v>6.5270000000000001</v>
      </c>
      <c r="K158" s="181">
        <f t="shared" si="399"/>
        <v>0</v>
      </c>
      <c r="L158" s="463"/>
      <c r="M158" s="471"/>
      <c r="N158" s="463"/>
      <c r="O158" s="463"/>
      <c r="P158" s="464"/>
      <c r="Q158" s="465"/>
    </row>
    <row r="159" spans="2:17">
      <c r="B159" s="488"/>
      <c r="C159" s="466" t="s">
        <v>335</v>
      </c>
      <c r="D159" s="468">
        <v>0</v>
      </c>
      <c r="E159" s="280" t="s">
        <v>192</v>
      </c>
      <c r="F159" s="174"/>
      <c r="G159" s="174">
        <f>1125.781-1125.781</f>
        <v>0</v>
      </c>
      <c r="H159" s="174">
        <f>F159+G159</f>
        <v>0</v>
      </c>
      <c r="I159" s="363"/>
      <c r="J159" s="174">
        <f t="shared" si="398"/>
        <v>0</v>
      </c>
      <c r="K159" s="181" t="e">
        <f t="shared" si="407"/>
        <v>#DIV/0!</v>
      </c>
      <c r="L159" s="463">
        <f t="shared" ref="L159" si="426">F159+F160</f>
        <v>0</v>
      </c>
      <c r="M159" s="470">
        <f t="shared" ref="M159" si="427">G159+G160</f>
        <v>0</v>
      </c>
      <c r="N159" s="463">
        <f t="shared" ref="N159" si="428">L159+M159</f>
        <v>0</v>
      </c>
      <c r="O159" s="463">
        <f t="shared" ref="O159" si="429">I159+I160</f>
        <v>0</v>
      </c>
      <c r="P159" s="464">
        <f t="shared" ref="P159" si="430">N159-O159</f>
        <v>0</v>
      </c>
      <c r="Q159" s="465" t="e">
        <f t="shared" ref="Q159" si="431">O159/N159</f>
        <v>#DIV/0!</v>
      </c>
    </row>
    <row r="160" spans="2:17">
      <c r="B160" s="488"/>
      <c r="C160" s="467"/>
      <c r="D160" s="469"/>
      <c r="E160" s="280" t="s">
        <v>193</v>
      </c>
      <c r="F160" s="174"/>
      <c r="G160" s="174"/>
      <c r="H160" s="174">
        <f>F160+G160+J159</f>
        <v>0</v>
      </c>
      <c r="I160" s="363"/>
      <c r="J160" s="174">
        <f t="shared" si="398"/>
        <v>0</v>
      </c>
      <c r="K160" s="181" t="e">
        <f t="shared" si="399"/>
        <v>#DIV/0!</v>
      </c>
      <c r="L160" s="463"/>
      <c r="M160" s="471"/>
      <c r="N160" s="463"/>
      <c r="O160" s="463"/>
      <c r="P160" s="464"/>
      <c r="Q160" s="465"/>
    </row>
    <row r="161" spans="2:17">
      <c r="B161" s="488"/>
      <c r="C161" s="466" t="s">
        <v>427</v>
      </c>
      <c r="D161" s="468">
        <v>0</v>
      </c>
      <c r="E161" s="226" t="s">
        <v>192</v>
      </c>
      <c r="F161" s="310"/>
      <c r="G161" s="310">
        <v>16.68</v>
      </c>
      <c r="H161" s="310">
        <f>F161+G161</f>
        <v>16.68</v>
      </c>
      <c r="I161" s="363"/>
      <c r="J161" s="310">
        <f t="shared" ref="J161:K161" si="432">H161+I161</f>
        <v>16.68</v>
      </c>
      <c r="K161" s="177">
        <f t="shared" si="432"/>
        <v>16.68</v>
      </c>
      <c r="L161" s="463">
        <f t="shared" ref="L161" si="433">F161+F162</f>
        <v>0</v>
      </c>
      <c r="M161" s="470">
        <f t="shared" ref="M161" si="434">G161+G162</f>
        <v>16.68</v>
      </c>
      <c r="N161" s="463">
        <f t="shared" ref="N161" si="435">L161+M161</f>
        <v>16.68</v>
      </c>
      <c r="O161" s="463">
        <f t="shared" ref="O161" si="436">I161+I162</f>
        <v>0</v>
      </c>
      <c r="P161" s="464">
        <f t="shared" ref="P161" si="437">N161-O161</f>
        <v>16.68</v>
      </c>
      <c r="Q161" s="465">
        <f t="shared" ref="Q161" si="438">O161/N161</f>
        <v>0</v>
      </c>
    </row>
    <row r="162" spans="2:17">
      <c r="B162" s="488"/>
      <c r="C162" s="467"/>
      <c r="D162" s="469"/>
      <c r="E162" s="226" t="s">
        <v>193</v>
      </c>
      <c r="F162" s="310"/>
      <c r="G162" s="310"/>
      <c r="H162" s="310">
        <f>F162+G162+J161</f>
        <v>16.68</v>
      </c>
      <c r="I162" s="363"/>
      <c r="J162" s="310">
        <f t="shared" ref="J162:K162" si="439">H162+I162+L161</f>
        <v>16.68</v>
      </c>
      <c r="K162" s="177">
        <f t="shared" si="439"/>
        <v>33.36</v>
      </c>
      <c r="L162" s="463"/>
      <c r="M162" s="471"/>
      <c r="N162" s="463"/>
      <c r="O162" s="463"/>
      <c r="P162" s="464"/>
      <c r="Q162" s="465"/>
    </row>
    <row r="163" spans="2:17">
      <c r="B163" s="488"/>
      <c r="C163" s="466" t="s">
        <v>147</v>
      </c>
      <c r="D163" s="468">
        <v>0</v>
      </c>
      <c r="E163" s="226" t="s">
        <v>192</v>
      </c>
      <c r="F163" s="399"/>
      <c r="G163" s="399">
        <v>352</v>
      </c>
      <c r="H163" s="399">
        <f>F163+G163</f>
        <v>352</v>
      </c>
      <c r="I163" s="363"/>
      <c r="J163" s="399">
        <f t="shared" ref="J163" si="440">H163+I163</f>
        <v>352</v>
      </c>
      <c r="K163" s="177">
        <f t="shared" ref="K163" si="441">I163+J163</f>
        <v>352</v>
      </c>
      <c r="L163" s="463">
        <f t="shared" ref="L163" si="442">F163+F164</f>
        <v>0</v>
      </c>
      <c r="M163" s="470">
        <f t="shared" ref="M163" si="443">G163+G164</f>
        <v>352</v>
      </c>
      <c r="N163" s="463">
        <f t="shared" ref="N163" si="444">L163+M163</f>
        <v>352</v>
      </c>
      <c r="O163" s="463">
        <f t="shared" ref="O163" si="445">I163+I164</f>
        <v>0</v>
      </c>
      <c r="P163" s="464">
        <f t="shared" ref="P163" si="446">N163-O163</f>
        <v>352</v>
      </c>
      <c r="Q163" s="465">
        <f t="shared" ref="Q163" si="447">O163/N163</f>
        <v>0</v>
      </c>
    </row>
    <row r="164" spans="2:17">
      <c r="B164" s="488"/>
      <c r="C164" s="467"/>
      <c r="D164" s="469"/>
      <c r="E164" s="226" t="s">
        <v>193</v>
      </c>
      <c r="F164" s="399"/>
      <c r="G164" s="399"/>
      <c r="H164" s="399">
        <f>F164+G164+J163</f>
        <v>352</v>
      </c>
      <c r="I164" s="363"/>
      <c r="J164" s="399">
        <f t="shared" ref="J164" si="448">H164+I164+L163</f>
        <v>352</v>
      </c>
      <c r="K164" s="177">
        <f t="shared" ref="K164" si="449">I164+J164+M163</f>
        <v>704</v>
      </c>
      <c r="L164" s="463"/>
      <c r="M164" s="471"/>
      <c r="N164" s="463"/>
      <c r="O164" s="463"/>
      <c r="P164" s="464"/>
      <c r="Q164" s="465"/>
    </row>
    <row r="165" spans="2:17">
      <c r="B165" s="488"/>
      <c r="C165" s="466" t="s">
        <v>428</v>
      </c>
      <c r="D165" s="468">
        <v>0</v>
      </c>
      <c r="E165" s="226" t="s">
        <v>192</v>
      </c>
      <c r="F165" s="310"/>
      <c r="G165" s="310">
        <v>18.131</v>
      </c>
      <c r="H165" s="310">
        <f>F165+G165</f>
        <v>18.131</v>
      </c>
      <c r="I165" s="363"/>
      <c r="J165" s="310">
        <f t="shared" ref="J165:K165" si="450">H165+I165</f>
        <v>18.131</v>
      </c>
      <c r="K165" s="177">
        <f t="shared" si="450"/>
        <v>18.131</v>
      </c>
      <c r="L165" s="463">
        <f t="shared" ref="L165" si="451">F165+F166</f>
        <v>0</v>
      </c>
      <c r="M165" s="470">
        <f t="shared" ref="M165" si="452">G165+G166</f>
        <v>18.131</v>
      </c>
      <c r="N165" s="463">
        <f t="shared" ref="N165" si="453">L165+M165</f>
        <v>18.131</v>
      </c>
      <c r="O165" s="463">
        <f t="shared" ref="O165" si="454">I165+I166</f>
        <v>0</v>
      </c>
      <c r="P165" s="464">
        <f t="shared" ref="P165" si="455">N165-O165</f>
        <v>18.131</v>
      </c>
      <c r="Q165" s="465">
        <f t="shared" ref="Q165" si="456">O165/N165</f>
        <v>0</v>
      </c>
    </row>
    <row r="166" spans="2:17" ht="13.5" thickBot="1">
      <c r="B166" s="488"/>
      <c r="C166" s="467"/>
      <c r="D166" s="469"/>
      <c r="E166" s="226" t="s">
        <v>193</v>
      </c>
      <c r="F166" s="310"/>
      <c r="G166" s="310"/>
      <c r="H166" s="310">
        <f>F166+G166+J165</f>
        <v>18.131</v>
      </c>
      <c r="I166" s="363"/>
      <c r="J166" s="310">
        <f t="shared" ref="J166:K166" si="457">H166+I166+L165</f>
        <v>18.131</v>
      </c>
      <c r="K166" s="177">
        <f t="shared" si="457"/>
        <v>36.262</v>
      </c>
      <c r="L166" s="463"/>
      <c r="M166" s="471"/>
      <c r="N166" s="463"/>
      <c r="O166" s="463"/>
      <c r="P166" s="464"/>
      <c r="Q166" s="465"/>
    </row>
    <row r="167" spans="2:17">
      <c r="B167" s="488"/>
      <c r="C167" s="484" t="s">
        <v>68</v>
      </c>
      <c r="D167" s="461"/>
      <c r="E167" s="193" t="s">
        <v>56</v>
      </c>
      <c r="F167" s="178">
        <f>F127+F129+F131+F133+F135+F137+F139+F141+F143+F145+F147+F149+F151+F153+F157+F159+F155+F161+F165+F163</f>
        <v>65269.994000000006</v>
      </c>
      <c r="G167" s="61">
        <f>G127+G129+G131+G133+G135+G137+G139+G141+G143+G145+G147+G149+G151+G153+G157+G159+G161+G165+G155+G163</f>
        <v>-29999.839999999986</v>
      </c>
      <c r="H167" s="61">
        <f>F167+G167</f>
        <v>35270.154000000024</v>
      </c>
      <c r="I167" s="311">
        <f>I127+I129+I131+I133+I135+I137+I139+I141+I143+I145+I147+I149+I151+I153+I157+I159+I161+I165</f>
        <v>9707.478000000001</v>
      </c>
      <c r="J167" s="61">
        <f>H167-I167</f>
        <v>25562.676000000021</v>
      </c>
      <c r="K167" s="176">
        <f>I167/H167</f>
        <v>0.27523208432829621</v>
      </c>
      <c r="L167" s="489">
        <f>SUM(L127:L166)</f>
        <v>72521.994999999995</v>
      </c>
      <c r="M167" s="489">
        <f>SUM(M127:M166)</f>
        <v>-29999.839999999986</v>
      </c>
      <c r="N167" s="489">
        <f>L167+M167</f>
        <v>42522.155000000013</v>
      </c>
      <c r="O167" s="476">
        <f>SUM(O127:O166)</f>
        <v>9707.478000000001</v>
      </c>
      <c r="P167" s="483">
        <f>N167-O167</f>
        <v>32814.677000000011</v>
      </c>
      <c r="Q167" s="465">
        <f>O167/N167</f>
        <v>0.22829223965718573</v>
      </c>
    </row>
    <row r="168" spans="2:17">
      <c r="B168" s="488"/>
      <c r="C168" s="485"/>
      <c r="D168" s="462"/>
      <c r="E168" s="60" t="s">
        <v>56</v>
      </c>
      <c r="F168" s="61">
        <f>F128+F130+F132+F134+F136+F138+F140+F142+F144+F146+F148+F150+F152+F154+F158+F160+F156+F162+F166</f>
        <v>7252.0009999999993</v>
      </c>
      <c r="G168" s="61">
        <f>G128+G130+G132+G134+G136+G138+G140+G142+G144+G146+G148+G150+G152+G154+G158+G160+G162+G166</f>
        <v>0</v>
      </c>
      <c r="H168" s="61">
        <f>F168+G168+J167</f>
        <v>32814.677000000018</v>
      </c>
      <c r="I168" s="311">
        <f>I128+I130+I132+I134+I136+I138+I140+I142+I144+I146+I148+I150+I152+I154+I158+I160+I162+I166</f>
        <v>0</v>
      </c>
      <c r="J168" s="61">
        <f>H168-I168</f>
        <v>32814.677000000018</v>
      </c>
      <c r="K168" s="176">
        <f>I168/H168</f>
        <v>0</v>
      </c>
      <c r="L168" s="490"/>
      <c r="M168" s="490"/>
      <c r="N168" s="490"/>
      <c r="O168" s="476"/>
      <c r="P168" s="483"/>
      <c r="Q168" s="465"/>
    </row>
    <row r="169" spans="2:17">
      <c r="B169" s="488"/>
      <c r="C169" s="486"/>
      <c r="D169" s="351"/>
      <c r="E169" s="61"/>
      <c r="F169" s="61">
        <f>SUM(F167,F168)</f>
        <v>72521.99500000001</v>
      </c>
      <c r="M169" s="76"/>
    </row>
    <row r="176" spans="2:17">
      <c r="C176" s="57"/>
    </row>
    <row r="219" spans="6:6">
      <c r="F219" s="80"/>
    </row>
    <row r="236" spans="10:12">
      <c r="J236" s="80"/>
      <c r="L236" s="80"/>
    </row>
    <row r="237" spans="10:12">
      <c r="J237" s="80"/>
      <c r="L237" s="80"/>
    </row>
    <row r="256" spans="10:12">
      <c r="J256" s="80"/>
      <c r="L256" s="80"/>
    </row>
    <row r="257" spans="10:12">
      <c r="J257" s="80"/>
      <c r="L257" s="80"/>
    </row>
    <row r="261" spans="10:12">
      <c r="J261" s="80"/>
      <c r="L261" s="80"/>
    </row>
    <row r="262" spans="10:12">
      <c r="J262" s="80"/>
      <c r="L262" s="80"/>
    </row>
    <row r="264" spans="10:12">
      <c r="J264" s="80"/>
      <c r="L264" s="80"/>
    </row>
    <row r="265" spans="10:12">
      <c r="J265" s="80"/>
      <c r="L265" s="80"/>
    </row>
    <row r="269" spans="10:12">
      <c r="J269" s="80"/>
      <c r="L269" s="80"/>
    </row>
    <row r="270" spans="10:12">
      <c r="J270" s="80"/>
      <c r="L270" s="80"/>
    </row>
    <row r="276" spans="10:12">
      <c r="J276" s="80"/>
      <c r="L276" s="80"/>
    </row>
    <row r="277" spans="10:12">
      <c r="J277" s="80"/>
      <c r="L277" s="80"/>
    </row>
  </sheetData>
  <mergeCells count="606">
    <mergeCell ref="Q131:Q132"/>
    <mergeCell ref="O131:O132"/>
    <mergeCell ref="P131:P132"/>
    <mergeCell ref="P127:P128"/>
    <mergeCell ref="Q129:Q130"/>
    <mergeCell ref="Q127:Q128"/>
    <mergeCell ref="M139:M140"/>
    <mergeCell ref="N139:N140"/>
    <mergeCell ref="N135:N136"/>
    <mergeCell ref="Q121:Q122"/>
    <mergeCell ref="P121:P122"/>
    <mergeCell ref="Q133:Q134"/>
    <mergeCell ref="P133:P134"/>
    <mergeCell ref="O133:O134"/>
    <mergeCell ref="Q89:Q90"/>
    <mergeCell ref="P83:P84"/>
    <mergeCell ref="N81:N82"/>
    <mergeCell ref="M47:M48"/>
    <mergeCell ref="Q79:Q80"/>
    <mergeCell ref="P79:P80"/>
    <mergeCell ref="N79:N80"/>
    <mergeCell ref="O79:O80"/>
    <mergeCell ref="M61:M62"/>
    <mergeCell ref="N61:N62"/>
    <mergeCell ref="O61:O62"/>
    <mergeCell ref="O71:O72"/>
    <mergeCell ref="M63:M64"/>
    <mergeCell ref="N63:N64"/>
    <mergeCell ref="O69:O70"/>
    <mergeCell ref="M77:M78"/>
    <mergeCell ref="N77:N78"/>
    <mergeCell ref="M79:M80"/>
    <mergeCell ref="O77:O78"/>
    <mergeCell ref="N89:N90"/>
    <mergeCell ref="Q20:Q21"/>
    <mergeCell ref="L57:L58"/>
    <mergeCell ref="M57:M58"/>
    <mergeCell ref="N57:N58"/>
    <mergeCell ref="O57:O58"/>
    <mergeCell ref="P57:P58"/>
    <mergeCell ref="Q57:Q58"/>
    <mergeCell ref="L53:L54"/>
    <mergeCell ref="M53:M54"/>
    <mergeCell ref="M35:M36"/>
    <mergeCell ref="M22:M23"/>
    <mergeCell ref="O24:O25"/>
    <mergeCell ref="O39:O40"/>
    <mergeCell ref="N22:N23"/>
    <mergeCell ref="M39:M40"/>
    <mergeCell ref="M37:M38"/>
    <mergeCell ref="M41:M42"/>
    <mergeCell ref="M51:M52"/>
    <mergeCell ref="M43:M44"/>
    <mergeCell ref="P20:P21"/>
    <mergeCell ref="P22:P23"/>
    <mergeCell ref="O22:O23"/>
    <mergeCell ref="L31:L32"/>
    <mergeCell ref="L85:L86"/>
    <mergeCell ref="O73:O74"/>
    <mergeCell ref="N43:N44"/>
    <mergeCell ref="N41:N42"/>
    <mergeCell ref="N51:N52"/>
    <mergeCell ref="O31:O32"/>
    <mergeCell ref="N75:N76"/>
    <mergeCell ref="P71:P72"/>
    <mergeCell ref="M73:M74"/>
    <mergeCell ref="O83:O84"/>
    <mergeCell ref="L79:L80"/>
    <mergeCell ref="L81:L82"/>
    <mergeCell ref="M81:M82"/>
    <mergeCell ref="L75:L76"/>
    <mergeCell ref="O75:O76"/>
    <mergeCell ref="N73:N74"/>
    <mergeCell ref="M85:M86"/>
    <mergeCell ref="O85:O86"/>
    <mergeCell ref="M83:M84"/>
    <mergeCell ref="M71:M72"/>
    <mergeCell ref="P53:P54"/>
    <mergeCell ref="L20:L21"/>
    <mergeCell ref="M20:M21"/>
    <mergeCell ref="N20:N21"/>
    <mergeCell ref="O20:O21"/>
    <mergeCell ref="N55:N56"/>
    <mergeCell ref="L35:L36"/>
    <mergeCell ref="L43:L44"/>
    <mergeCell ref="L41:L42"/>
    <mergeCell ref="M45:M46"/>
    <mergeCell ref="L51:L52"/>
    <mergeCell ref="L37:L38"/>
    <mergeCell ref="L33:L34"/>
    <mergeCell ref="L47:L48"/>
    <mergeCell ref="L45:L46"/>
    <mergeCell ref="L39:L40"/>
    <mergeCell ref="L49:L50"/>
    <mergeCell ref="N53:N54"/>
    <mergeCell ref="O53:O54"/>
    <mergeCell ref="N37:N38"/>
    <mergeCell ref="N47:N48"/>
    <mergeCell ref="N24:N25"/>
    <mergeCell ref="M33:M34"/>
    <mergeCell ref="M31:M32"/>
    <mergeCell ref="B6:B26"/>
    <mergeCell ref="B31:B65"/>
    <mergeCell ref="C63:C65"/>
    <mergeCell ref="C16:C17"/>
    <mergeCell ref="C37:C38"/>
    <mergeCell ref="C71:C72"/>
    <mergeCell ref="C73:C74"/>
    <mergeCell ref="B69:B123"/>
    <mergeCell ref="C83:C84"/>
    <mergeCell ref="C97:C98"/>
    <mergeCell ref="C93:C94"/>
    <mergeCell ref="C95:C96"/>
    <mergeCell ref="C121:C123"/>
    <mergeCell ref="C31:C32"/>
    <mergeCell ref="C113:C114"/>
    <mergeCell ref="C33:C34"/>
    <mergeCell ref="C87:C88"/>
    <mergeCell ref="C81:C82"/>
    <mergeCell ref="C79:C80"/>
    <mergeCell ref="C75:C76"/>
    <mergeCell ref="C14:C15"/>
    <mergeCell ref="C109:C110"/>
    <mergeCell ref="C99:C100"/>
    <mergeCell ref="C101:C102"/>
    <mergeCell ref="D79:D80"/>
    <mergeCell ref="D81:D82"/>
    <mergeCell ref="D83:D84"/>
    <mergeCell ref="D53:D54"/>
    <mergeCell ref="C107:C108"/>
    <mergeCell ref="D107:D108"/>
    <mergeCell ref="L107:L108"/>
    <mergeCell ref="M107:M108"/>
    <mergeCell ref="C91:C92"/>
    <mergeCell ref="C85:C86"/>
    <mergeCell ref="C89:C90"/>
    <mergeCell ref="L89:L90"/>
    <mergeCell ref="M95:M96"/>
    <mergeCell ref="M93:M94"/>
    <mergeCell ref="D63:D64"/>
    <mergeCell ref="D75:D76"/>
    <mergeCell ref="L71:L72"/>
    <mergeCell ref="L73:L74"/>
    <mergeCell ref="L55:L56"/>
    <mergeCell ref="L77:L78"/>
    <mergeCell ref="M55:M56"/>
    <mergeCell ref="M75:M76"/>
    <mergeCell ref="L83:L84"/>
    <mergeCell ref="M89:M90"/>
    <mergeCell ref="D6:D7"/>
    <mergeCell ref="D8:D9"/>
    <mergeCell ref="D10:D11"/>
    <mergeCell ref="D12:D13"/>
    <mergeCell ref="D14:D15"/>
    <mergeCell ref="D16:D17"/>
    <mergeCell ref="C77:C78"/>
    <mergeCell ref="C53:C54"/>
    <mergeCell ref="D77:D78"/>
    <mergeCell ref="C57:C58"/>
    <mergeCell ref="D57:D58"/>
    <mergeCell ref="C55:C56"/>
    <mergeCell ref="D55:D56"/>
    <mergeCell ref="C20:C21"/>
    <mergeCell ref="D20:D21"/>
    <mergeCell ref="D61:D62"/>
    <mergeCell ref="C61:C62"/>
    <mergeCell ref="D51:D52"/>
    <mergeCell ref="D37:D38"/>
    <mergeCell ref="D39:D40"/>
    <mergeCell ref="C35:C36"/>
    <mergeCell ref="C10:C11"/>
    <mergeCell ref="C45:C46"/>
    <mergeCell ref="D41:D42"/>
    <mergeCell ref="D43:D44"/>
    <mergeCell ref="D45:D46"/>
    <mergeCell ref="D47:D48"/>
    <mergeCell ref="D49:D50"/>
    <mergeCell ref="C39:C40"/>
    <mergeCell ref="C41:C42"/>
    <mergeCell ref="C43:C44"/>
    <mergeCell ref="D18:D19"/>
    <mergeCell ref="D22:D23"/>
    <mergeCell ref="D31:D32"/>
    <mergeCell ref="D33:D34"/>
    <mergeCell ref="D35:D36"/>
    <mergeCell ref="C22:C23"/>
    <mergeCell ref="C18:C19"/>
    <mergeCell ref="C24:D26"/>
    <mergeCell ref="L6:L7"/>
    <mergeCell ref="M6:M7"/>
    <mergeCell ref="P14:P15"/>
    <mergeCell ref="O14:O15"/>
    <mergeCell ref="Q12:Q13"/>
    <mergeCell ref="N6:N7"/>
    <mergeCell ref="O6:O7"/>
    <mergeCell ref="P6:P7"/>
    <mergeCell ref="M14:M15"/>
    <mergeCell ref="L14:L15"/>
    <mergeCell ref="M10:M11"/>
    <mergeCell ref="N14:N15"/>
    <mergeCell ref="Q10:Q11"/>
    <mergeCell ref="P10:P11"/>
    <mergeCell ref="O10:O11"/>
    <mergeCell ref="N10:N11"/>
    <mergeCell ref="Q6:Q7"/>
    <mergeCell ref="L8:L9"/>
    <mergeCell ref="M8:M9"/>
    <mergeCell ref="N8:N9"/>
    <mergeCell ref="O8:O9"/>
    <mergeCell ref="P8:P9"/>
    <mergeCell ref="Q8:Q9"/>
    <mergeCell ref="L10:L11"/>
    <mergeCell ref="P16:P17"/>
    <mergeCell ref="O16:O17"/>
    <mergeCell ref="N16:N17"/>
    <mergeCell ref="M16:M17"/>
    <mergeCell ref="Q18:Q19"/>
    <mergeCell ref="P18:P19"/>
    <mergeCell ref="M18:M19"/>
    <mergeCell ref="L16:L17"/>
    <mergeCell ref="L18:L19"/>
    <mergeCell ref="Q71:Q72"/>
    <mergeCell ref="Q83:Q84"/>
    <mergeCell ref="Q81:Q82"/>
    <mergeCell ref="P87:P88"/>
    <mergeCell ref="O87:O88"/>
    <mergeCell ref="Q85:Q86"/>
    <mergeCell ref="N85:N86"/>
    <mergeCell ref="P77:P78"/>
    <mergeCell ref="Q77:Q78"/>
    <mergeCell ref="P85:P86"/>
    <mergeCell ref="N83:N84"/>
    <mergeCell ref="Q73:Q74"/>
    <mergeCell ref="O81:O82"/>
    <mergeCell ref="N71:N72"/>
    <mergeCell ref="N87:N88"/>
    <mergeCell ref="P81:P82"/>
    <mergeCell ref="Q75:Q76"/>
    <mergeCell ref="P73:P74"/>
    <mergeCell ref="P75:P76"/>
    <mergeCell ref="B3:Q3"/>
    <mergeCell ref="C69:C70"/>
    <mergeCell ref="C6:C7"/>
    <mergeCell ref="C8:C9"/>
    <mergeCell ref="C12:C13"/>
    <mergeCell ref="Q14:Q15"/>
    <mergeCell ref="L12:L13"/>
    <mergeCell ref="M12:M13"/>
    <mergeCell ref="N12:N13"/>
    <mergeCell ref="O12:O13"/>
    <mergeCell ref="P12:P13"/>
    <mergeCell ref="N18:N19"/>
    <mergeCell ref="O18:O19"/>
    <mergeCell ref="P37:P38"/>
    <mergeCell ref="Q37:Q38"/>
    <mergeCell ref="O35:O36"/>
    <mergeCell ref="M49:M50"/>
    <mergeCell ref="Q33:Q34"/>
    <mergeCell ref="Q35:Q36"/>
    <mergeCell ref="Q22:Q23"/>
    <mergeCell ref="Q24:Q25"/>
    <mergeCell ref="L22:L23"/>
    <mergeCell ref="Q16:Q17"/>
    <mergeCell ref="N35:N36"/>
    <mergeCell ref="P24:P25"/>
    <mergeCell ref="Q31:Q32"/>
    <mergeCell ref="P35:P36"/>
    <mergeCell ref="Q45:Q46"/>
    <mergeCell ref="Q41:Q42"/>
    <mergeCell ref="P45:P46"/>
    <mergeCell ref="O47:O48"/>
    <mergeCell ref="Q39:Q40"/>
    <mergeCell ref="N49:N50"/>
    <mergeCell ref="N33:N34"/>
    <mergeCell ref="N31:N32"/>
    <mergeCell ref="P41:P42"/>
    <mergeCell ref="P47:P48"/>
    <mergeCell ref="Q53:Q54"/>
    <mergeCell ref="Q51:Q52"/>
    <mergeCell ref="O51:O52"/>
    <mergeCell ref="P51:P52"/>
    <mergeCell ref="P49:P50"/>
    <mergeCell ref="P39:P40"/>
    <mergeCell ref="P43:P44"/>
    <mergeCell ref="P31:P32"/>
    <mergeCell ref="Q69:Q70"/>
    <mergeCell ref="O33:O34"/>
    <mergeCell ref="O49:O50"/>
    <mergeCell ref="O37:O38"/>
    <mergeCell ref="O41:O42"/>
    <mergeCell ref="Q63:Q64"/>
    <mergeCell ref="P63:P64"/>
    <mergeCell ref="O45:O46"/>
    <mergeCell ref="O43:O44"/>
    <mergeCell ref="O63:O64"/>
    <mergeCell ref="P69:P70"/>
    <mergeCell ref="O55:O56"/>
    <mergeCell ref="P55:P56"/>
    <mergeCell ref="Q55:Q56"/>
    <mergeCell ref="P33:P34"/>
    <mergeCell ref="Q49:Q50"/>
    <mergeCell ref="B2:Q2"/>
    <mergeCell ref="Q87:Q88"/>
    <mergeCell ref="M69:M70"/>
    <mergeCell ref="N69:N70"/>
    <mergeCell ref="M87:M88"/>
    <mergeCell ref="L61:L62"/>
    <mergeCell ref="L63:L64"/>
    <mergeCell ref="L87:L88"/>
    <mergeCell ref="B4:Q4"/>
    <mergeCell ref="P61:P62"/>
    <mergeCell ref="Q61:Q62"/>
    <mergeCell ref="N45:N46"/>
    <mergeCell ref="L69:L70"/>
    <mergeCell ref="C47:C48"/>
    <mergeCell ref="C49:C50"/>
    <mergeCell ref="C51:C52"/>
    <mergeCell ref="Q43:Q44"/>
    <mergeCell ref="Q47:Q48"/>
    <mergeCell ref="D69:D70"/>
    <mergeCell ref="D71:D72"/>
    <mergeCell ref="D73:D74"/>
    <mergeCell ref="L24:L25"/>
    <mergeCell ref="M24:M25"/>
    <mergeCell ref="N39:N40"/>
    <mergeCell ref="O157:O158"/>
    <mergeCell ref="P135:P136"/>
    <mergeCell ref="O137:O138"/>
    <mergeCell ref="O147:O148"/>
    <mergeCell ref="Q151:Q152"/>
    <mergeCell ref="O151:O152"/>
    <mergeCell ref="P151:P152"/>
    <mergeCell ref="P137:P138"/>
    <mergeCell ref="Q141:Q142"/>
    <mergeCell ref="Q135:Q136"/>
    <mergeCell ref="O139:O140"/>
    <mergeCell ref="O135:O136"/>
    <mergeCell ref="O143:O144"/>
    <mergeCell ref="O149:O150"/>
    <mergeCell ref="O155:O156"/>
    <mergeCell ref="P155:P156"/>
    <mergeCell ref="Q155:Q156"/>
    <mergeCell ref="Q93:Q94"/>
    <mergeCell ref="Q99:Q100"/>
    <mergeCell ref="O99:O100"/>
    <mergeCell ref="P129:P130"/>
    <mergeCell ref="Q103:Q104"/>
    <mergeCell ref="P103:P104"/>
    <mergeCell ref="P109:P110"/>
    <mergeCell ref="Q109:Q110"/>
    <mergeCell ref="O107:O108"/>
    <mergeCell ref="P107:P108"/>
    <mergeCell ref="Q107:Q108"/>
    <mergeCell ref="O121:O122"/>
    <mergeCell ref="Q105:Q106"/>
    <mergeCell ref="Q101:Q102"/>
    <mergeCell ref="P113:P114"/>
    <mergeCell ref="Q113:Q114"/>
    <mergeCell ref="P99:P100"/>
    <mergeCell ref="P101:P102"/>
    <mergeCell ref="O127:O128"/>
    <mergeCell ref="O111:O112"/>
    <mergeCell ref="P111:P112"/>
    <mergeCell ref="O115:O116"/>
    <mergeCell ref="Q115:Q116"/>
    <mergeCell ref="Q111:Q112"/>
    <mergeCell ref="D97:D98"/>
    <mergeCell ref="D99:D100"/>
    <mergeCell ref="D101:D102"/>
    <mergeCell ref="L97:L98"/>
    <mergeCell ref="M143:M144"/>
    <mergeCell ref="L145:L146"/>
    <mergeCell ref="M145:M146"/>
    <mergeCell ref="M97:M98"/>
    <mergeCell ref="O91:O92"/>
    <mergeCell ref="O109:O110"/>
    <mergeCell ref="D91:D92"/>
    <mergeCell ref="M101:M102"/>
    <mergeCell ref="N101:N102"/>
    <mergeCell ref="L101:L102"/>
    <mergeCell ref="L91:L92"/>
    <mergeCell ref="M91:M92"/>
    <mergeCell ref="N91:N92"/>
    <mergeCell ref="O129:O130"/>
    <mergeCell ref="N141:N142"/>
    <mergeCell ref="N145:N146"/>
    <mergeCell ref="L139:L140"/>
    <mergeCell ref="N93:N94"/>
    <mergeCell ref="O93:O94"/>
    <mergeCell ref="N95:N96"/>
    <mergeCell ref="B127:B169"/>
    <mergeCell ref="N129:N130"/>
    <mergeCell ref="L151:L152"/>
    <mergeCell ref="M151:M152"/>
    <mergeCell ref="C157:C158"/>
    <mergeCell ref="L157:L158"/>
    <mergeCell ref="M157:M158"/>
    <mergeCell ref="N157:N158"/>
    <mergeCell ref="L167:L168"/>
    <mergeCell ref="M167:M168"/>
    <mergeCell ref="N167:N168"/>
    <mergeCell ref="L137:L138"/>
    <mergeCell ref="N151:N152"/>
    <mergeCell ref="D127:D128"/>
    <mergeCell ref="C149:C150"/>
    <mergeCell ref="C151:C152"/>
    <mergeCell ref="M149:M150"/>
    <mergeCell ref="N149:N150"/>
    <mergeCell ref="N147:N148"/>
    <mergeCell ref="L153:L154"/>
    <mergeCell ref="M153:M154"/>
    <mergeCell ref="N153:N154"/>
    <mergeCell ref="M141:M142"/>
    <mergeCell ref="D143:D144"/>
    <mergeCell ref="D85:D86"/>
    <mergeCell ref="C167:C169"/>
    <mergeCell ref="C129:C130"/>
    <mergeCell ref="C141:C142"/>
    <mergeCell ref="C145:C146"/>
    <mergeCell ref="C135:C136"/>
    <mergeCell ref="C143:C144"/>
    <mergeCell ref="C153:C154"/>
    <mergeCell ref="D103:D104"/>
    <mergeCell ref="D113:D114"/>
    <mergeCell ref="C133:C134"/>
    <mergeCell ref="D129:D130"/>
    <mergeCell ref="D131:D132"/>
    <mergeCell ref="D133:D134"/>
    <mergeCell ref="D135:D136"/>
    <mergeCell ref="D137:D138"/>
    <mergeCell ref="D139:D140"/>
    <mergeCell ref="D87:D88"/>
    <mergeCell ref="D89:D90"/>
    <mergeCell ref="D93:D94"/>
    <mergeCell ref="D95:D96"/>
    <mergeCell ref="D167:D168"/>
    <mergeCell ref="D153:D154"/>
    <mergeCell ref="D109:D110"/>
    <mergeCell ref="Q167:Q168"/>
    <mergeCell ref="O141:O142"/>
    <mergeCell ref="P141:P142"/>
    <mergeCell ref="Q137:Q138"/>
    <mergeCell ref="P139:P140"/>
    <mergeCell ref="D145:D146"/>
    <mergeCell ref="D147:D148"/>
    <mergeCell ref="D149:D150"/>
    <mergeCell ref="D151:D152"/>
    <mergeCell ref="D157:D158"/>
    <mergeCell ref="L149:L150"/>
    <mergeCell ref="L147:L148"/>
    <mergeCell ref="Q139:Q140"/>
    <mergeCell ref="Q143:Q144"/>
    <mergeCell ref="N143:N144"/>
    <mergeCell ref="P147:P148"/>
    <mergeCell ref="P143:P144"/>
    <mergeCell ref="O145:O146"/>
    <mergeCell ref="O167:O168"/>
    <mergeCell ref="Q147:Q148"/>
    <mergeCell ref="P145:P146"/>
    <mergeCell ref="P167:P168"/>
    <mergeCell ref="P157:P158"/>
    <mergeCell ref="Q157:Q158"/>
    <mergeCell ref="C111:C112"/>
    <mergeCell ref="C131:C132"/>
    <mergeCell ref="C127:C128"/>
    <mergeCell ref="D121:D122"/>
    <mergeCell ref="L109:L110"/>
    <mergeCell ref="M109:M110"/>
    <mergeCell ref="N109:N110"/>
    <mergeCell ref="L121:L122"/>
    <mergeCell ref="C115:C116"/>
    <mergeCell ref="D115:D116"/>
    <mergeCell ref="L115:L116"/>
    <mergeCell ref="M115:M116"/>
    <mergeCell ref="N115:N116"/>
    <mergeCell ref="L127:L128"/>
    <mergeCell ref="L129:L130"/>
    <mergeCell ref="N131:N132"/>
    <mergeCell ref="M131:M132"/>
    <mergeCell ref="M129:M130"/>
    <mergeCell ref="L131:L132"/>
    <mergeCell ref="C117:C118"/>
    <mergeCell ref="D117:D118"/>
    <mergeCell ref="L117:L118"/>
    <mergeCell ref="M117:M118"/>
    <mergeCell ref="N117:N118"/>
    <mergeCell ref="C103:C104"/>
    <mergeCell ref="L135:L136"/>
    <mergeCell ref="D111:D112"/>
    <mergeCell ref="P91:P92"/>
    <mergeCell ref="Q91:Q92"/>
    <mergeCell ref="C105:C106"/>
    <mergeCell ref="D105:D106"/>
    <mergeCell ref="L105:L106"/>
    <mergeCell ref="M105:M106"/>
    <mergeCell ref="N105:N106"/>
    <mergeCell ref="O105:O106"/>
    <mergeCell ref="P105:P106"/>
    <mergeCell ref="M103:M104"/>
    <mergeCell ref="L103:L104"/>
    <mergeCell ref="N103:N104"/>
    <mergeCell ref="O103:O104"/>
    <mergeCell ref="Q95:Q96"/>
    <mergeCell ref="L93:L94"/>
    <mergeCell ref="N97:N98"/>
    <mergeCell ref="P93:P94"/>
    <mergeCell ref="O95:O96"/>
    <mergeCell ref="N99:N100"/>
    <mergeCell ref="O97:O98"/>
    <mergeCell ref="Q97:Q98"/>
    <mergeCell ref="P89:P90"/>
    <mergeCell ref="L113:L114"/>
    <mergeCell ref="M113:M114"/>
    <mergeCell ref="N113:N114"/>
    <mergeCell ref="O113:O114"/>
    <mergeCell ref="M121:M122"/>
    <mergeCell ref="M133:M134"/>
    <mergeCell ref="N121:N122"/>
    <mergeCell ref="L133:L134"/>
    <mergeCell ref="M127:M128"/>
    <mergeCell ref="N127:N128"/>
    <mergeCell ref="N107:N108"/>
    <mergeCell ref="O101:O102"/>
    <mergeCell ref="L95:L96"/>
    <mergeCell ref="L99:L100"/>
    <mergeCell ref="M99:M100"/>
    <mergeCell ref="L111:L112"/>
    <mergeCell ref="M111:M112"/>
    <mergeCell ref="N111:N112"/>
    <mergeCell ref="N133:N134"/>
    <mergeCell ref="P97:P98"/>
    <mergeCell ref="P95:P96"/>
    <mergeCell ref="O89:O90"/>
    <mergeCell ref="P115:P116"/>
    <mergeCell ref="C165:C166"/>
    <mergeCell ref="D165:D166"/>
    <mergeCell ref="L165:L166"/>
    <mergeCell ref="M165:M166"/>
    <mergeCell ref="N165:N166"/>
    <mergeCell ref="O165:O166"/>
    <mergeCell ref="P165:P166"/>
    <mergeCell ref="Q165:Q166"/>
    <mergeCell ref="L143:L144"/>
    <mergeCell ref="O153:O154"/>
    <mergeCell ref="C159:C160"/>
    <mergeCell ref="D159:D160"/>
    <mergeCell ref="L159:L160"/>
    <mergeCell ref="M159:M160"/>
    <mergeCell ref="N159:N160"/>
    <mergeCell ref="O159:O160"/>
    <mergeCell ref="P159:P160"/>
    <mergeCell ref="Q159:Q160"/>
    <mergeCell ref="M147:M148"/>
    <mergeCell ref="P153:P154"/>
    <mergeCell ref="Q153:Q154"/>
    <mergeCell ref="P149:P150"/>
    <mergeCell ref="Q149:Q150"/>
    <mergeCell ref="C155:C156"/>
    <mergeCell ref="O119:O120"/>
    <mergeCell ref="P119:P120"/>
    <mergeCell ref="Q119:Q120"/>
    <mergeCell ref="C161:C162"/>
    <mergeCell ref="D161:D162"/>
    <mergeCell ref="L161:L162"/>
    <mergeCell ref="M161:M162"/>
    <mergeCell ref="N161:N162"/>
    <mergeCell ref="O161:O162"/>
    <mergeCell ref="P161:P162"/>
    <mergeCell ref="Q161:Q162"/>
    <mergeCell ref="M135:M136"/>
    <mergeCell ref="M137:M138"/>
    <mergeCell ref="N137:N138"/>
    <mergeCell ref="L141:L142"/>
    <mergeCell ref="C137:C138"/>
    <mergeCell ref="C139:C140"/>
    <mergeCell ref="D141:D142"/>
    <mergeCell ref="D155:D156"/>
    <mergeCell ref="L155:L156"/>
    <mergeCell ref="M155:M156"/>
    <mergeCell ref="N155:N156"/>
    <mergeCell ref="C147:C148"/>
    <mergeCell ref="Q145:Q146"/>
    <mergeCell ref="C59:C60"/>
    <mergeCell ref="D59:D60"/>
    <mergeCell ref="L59:L60"/>
    <mergeCell ref="M59:M60"/>
    <mergeCell ref="N59:N60"/>
    <mergeCell ref="O59:O60"/>
    <mergeCell ref="P59:P60"/>
    <mergeCell ref="Q59:Q60"/>
    <mergeCell ref="C163:C164"/>
    <mergeCell ref="D163:D164"/>
    <mergeCell ref="L163:L164"/>
    <mergeCell ref="M163:M164"/>
    <mergeCell ref="N163:N164"/>
    <mergeCell ref="O163:O164"/>
    <mergeCell ref="P163:P164"/>
    <mergeCell ref="Q163:Q164"/>
    <mergeCell ref="O117:O118"/>
    <mergeCell ref="P117:P118"/>
    <mergeCell ref="Q117:Q118"/>
    <mergeCell ref="C119:C120"/>
    <mergeCell ref="D119:D120"/>
    <mergeCell ref="L119:L120"/>
    <mergeCell ref="M119:M120"/>
    <mergeCell ref="N119:N120"/>
  </mergeCells>
  <pageMargins left="0.7" right="0.7" top="0.75" bottom="0.75" header="0.3" footer="0.3"/>
  <pageSetup paperSize="173" orientation="portrait" r:id="rId1"/>
  <ignoredErrors>
    <ignoredError sqref="N31:N32 H151:H152 N6:N7 H145:H146 H50 H25" formula="1"/>
    <ignoredError sqref="H10 H12:H13 H15:H16 H18:H19" formulaRange="1"/>
    <ignoredError sqref="H14 H17" formula="1" formulaRange="1"/>
    <ignoredError sqref="K155:K156 K120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L111"/>
  <sheetViews>
    <sheetView workbookViewId="0">
      <selection activeCell="F24" sqref="F24"/>
    </sheetView>
  </sheetViews>
  <sheetFormatPr baseColWidth="10" defaultRowHeight="15"/>
  <cols>
    <col min="9" max="9" width="16.7109375" customWidth="1"/>
    <col min="12" max="12" width="19.85546875" customWidth="1"/>
  </cols>
  <sheetData>
    <row r="5" spans="8:12" ht="15.75" thickBot="1">
      <c r="I5" s="393"/>
      <c r="L5" s="395" t="s">
        <v>439</v>
      </c>
    </row>
    <row r="6" spans="8:12" ht="15.75" thickBot="1">
      <c r="H6" s="396" t="s">
        <v>438</v>
      </c>
      <c r="I6" s="397" t="s">
        <v>437</v>
      </c>
      <c r="L6" s="384">
        <v>2</v>
      </c>
    </row>
    <row r="7" spans="8:12">
      <c r="H7" s="394">
        <v>1</v>
      </c>
      <c r="I7" s="386">
        <v>89</v>
      </c>
      <c r="L7" s="384">
        <v>5</v>
      </c>
    </row>
    <row r="8" spans="8:12">
      <c r="H8" s="395">
        <v>2</v>
      </c>
      <c r="I8" s="384">
        <v>90</v>
      </c>
      <c r="L8" s="384">
        <v>7</v>
      </c>
    </row>
    <row r="9" spans="8:12">
      <c r="H9" s="395">
        <v>3</v>
      </c>
      <c r="I9" s="384">
        <v>91</v>
      </c>
      <c r="L9" s="384">
        <v>6</v>
      </c>
    </row>
    <row r="10" spans="8:12">
      <c r="H10" s="395">
        <v>4</v>
      </c>
      <c r="I10" s="384">
        <v>92</v>
      </c>
      <c r="L10" s="384">
        <v>11</v>
      </c>
    </row>
    <row r="11" spans="8:12">
      <c r="H11" s="394">
        <v>5</v>
      </c>
      <c r="I11" s="384">
        <v>212</v>
      </c>
      <c r="L11" s="384">
        <v>12</v>
      </c>
    </row>
    <row r="12" spans="8:12">
      <c r="H12" s="395">
        <v>6</v>
      </c>
      <c r="I12" s="384">
        <v>219</v>
      </c>
      <c r="L12" s="384">
        <v>13</v>
      </c>
    </row>
    <row r="13" spans="8:12">
      <c r="H13" s="395">
        <v>7</v>
      </c>
      <c r="I13" s="384">
        <v>256</v>
      </c>
      <c r="L13" s="384">
        <v>16</v>
      </c>
    </row>
    <row r="14" spans="8:12">
      <c r="H14" s="395">
        <v>8</v>
      </c>
      <c r="I14" s="384">
        <v>264</v>
      </c>
      <c r="L14" s="384">
        <v>17</v>
      </c>
    </row>
    <row r="15" spans="8:12">
      <c r="H15" s="394">
        <v>9</v>
      </c>
      <c r="I15" s="384">
        <v>273</v>
      </c>
      <c r="L15" s="384">
        <v>18</v>
      </c>
    </row>
    <row r="16" spans="8:12">
      <c r="H16" s="395">
        <v>10</v>
      </c>
      <c r="I16" s="384">
        <v>281</v>
      </c>
      <c r="L16" s="384">
        <v>19</v>
      </c>
    </row>
    <row r="17" spans="8:12">
      <c r="H17" s="395">
        <v>11</v>
      </c>
      <c r="I17" s="384">
        <v>287</v>
      </c>
      <c r="L17" s="384">
        <v>20</v>
      </c>
    </row>
    <row r="18" spans="8:12">
      <c r="H18" s="395">
        <v>12</v>
      </c>
      <c r="I18" s="384">
        <v>300</v>
      </c>
      <c r="L18" s="384">
        <v>23</v>
      </c>
    </row>
    <row r="19" spans="8:12">
      <c r="H19" s="394">
        <v>13</v>
      </c>
      <c r="I19" s="384">
        <v>339</v>
      </c>
      <c r="L19" s="384">
        <v>22</v>
      </c>
    </row>
    <row r="20" spans="8:12">
      <c r="H20" s="395">
        <v>14</v>
      </c>
      <c r="I20" s="384">
        <v>353</v>
      </c>
      <c r="L20" s="384">
        <v>24</v>
      </c>
    </row>
    <row r="21" spans="8:12">
      <c r="H21" s="395">
        <v>15</v>
      </c>
      <c r="I21" s="384">
        <v>354</v>
      </c>
      <c r="L21" s="384">
        <v>25</v>
      </c>
    </row>
    <row r="22" spans="8:12">
      <c r="H22" s="395">
        <v>16</v>
      </c>
      <c r="I22" s="384">
        <v>355</v>
      </c>
      <c r="L22" s="384">
        <v>29</v>
      </c>
    </row>
    <row r="23" spans="8:12">
      <c r="H23" s="394">
        <v>17</v>
      </c>
      <c r="I23" s="384">
        <v>366</v>
      </c>
      <c r="L23" s="384"/>
    </row>
    <row r="24" spans="8:12">
      <c r="H24" s="395">
        <v>18</v>
      </c>
      <c r="I24" s="384">
        <v>369</v>
      </c>
      <c r="L24" s="384"/>
    </row>
    <row r="25" spans="8:12">
      <c r="H25" s="395">
        <v>19</v>
      </c>
      <c r="I25" s="384">
        <v>426</v>
      </c>
      <c r="L25" s="384"/>
    </row>
    <row r="26" spans="8:12">
      <c r="H26" s="395">
        <v>20</v>
      </c>
      <c r="I26" s="384">
        <v>430</v>
      </c>
      <c r="L26" s="384"/>
    </row>
    <row r="27" spans="8:12">
      <c r="H27" s="394">
        <v>21</v>
      </c>
      <c r="I27" s="384">
        <v>458</v>
      </c>
      <c r="L27" s="384"/>
    </row>
    <row r="28" spans="8:12">
      <c r="H28" s="395">
        <v>22</v>
      </c>
      <c r="I28" s="384">
        <v>467</v>
      </c>
      <c r="L28" s="384"/>
    </row>
    <row r="29" spans="8:12">
      <c r="H29" s="395">
        <v>23</v>
      </c>
      <c r="I29" s="384">
        <v>510</v>
      </c>
      <c r="L29" s="384"/>
    </row>
    <row r="30" spans="8:12">
      <c r="H30" s="395">
        <v>24</v>
      </c>
      <c r="I30" s="384">
        <v>519</v>
      </c>
      <c r="L30" s="384"/>
    </row>
    <row r="31" spans="8:12">
      <c r="H31" s="394">
        <v>25</v>
      </c>
      <c r="I31" s="384">
        <v>524</v>
      </c>
    </row>
    <row r="32" spans="8:12">
      <c r="H32" s="395">
        <v>26</v>
      </c>
      <c r="I32" s="384">
        <v>534</v>
      </c>
    </row>
    <row r="33" spans="8:9">
      <c r="H33" s="395">
        <v>27</v>
      </c>
      <c r="I33" s="384">
        <v>539</v>
      </c>
    </row>
    <row r="34" spans="8:9">
      <c r="H34" s="395">
        <v>28</v>
      </c>
      <c r="I34" s="384">
        <v>540</v>
      </c>
    </row>
    <row r="35" spans="8:9">
      <c r="H35" s="394">
        <v>29</v>
      </c>
      <c r="I35" s="384">
        <v>549</v>
      </c>
    </row>
    <row r="36" spans="8:9">
      <c r="H36" s="395">
        <v>30</v>
      </c>
      <c r="I36" s="384">
        <v>559</v>
      </c>
    </row>
    <row r="37" spans="8:9">
      <c r="H37" s="395">
        <v>31</v>
      </c>
      <c r="I37" s="384">
        <v>560</v>
      </c>
    </row>
    <row r="38" spans="8:9">
      <c r="H38" s="395">
        <v>32</v>
      </c>
      <c r="I38" s="384">
        <v>564</v>
      </c>
    </row>
    <row r="39" spans="8:9">
      <c r="H39" s="394">
        <v>33</v>
      </c>
      <c r="I39" s="384">
        <v>609</v>
      </c>
    </row>
    <row r="40" spans="8:9">
      <c r="H40" s="395">
        <v>34</v>
      </c>
      <c r="I40" s="384">
        <v>611</v>
      </c>
    </row>
    <row r="41" spans="8:9">
      <c r="H41" s="395">
        <v>35</v>
      </c>
      <c r="I41" s="384">
        <v>634</v>
      </c>
    </row>
    <row r="42" spans="8:9">
      <c r="H42" s="395">
        <v>36</v>
      </c>
      <c r="I42" s="385">
        <v>702</v>
      </c>
    </row>
    <row r="43" spans="8:9">
      <c r="H43" s="394">
        <v>37</v>
      </c>
      <c r="I43" s="384">
        <v>723</v>
      </c>
    </row>
    <row r="44" spans="8:9">
      <c r="H44" s="395">
        <v>38</v>
      </c>
      <c r="I44" s="384">
        <v>724</v>
      </c>
    </row>
    <row r="45" spans="8:9">
      <c r="H45" s="395">
        <v>39</v>
      </c>
      <c r="I45" s="384">
        <v>725</v>
      </c>
    </row>
    <row r="46" spans="8:9">
      <c r="H46" s="395">
        <v>40</v>
      </c>
      <c r="I46" s="384">
        <v>726</v>
      </c>
    </row>
    <row r="47" spans="8:9">
      <c r="H47" s="394">
        <v>41</v>
      </c>
      <c r="I47" s="384">
        <v>727</v>
      </c>
    </row>
    <row r="48" spans="8:9">
      <c r="H48" s="395">
        <v>42</v>
      </c>
      <c r="I48" s="384">
        <v>728</v>
      </c>
    </row>
    <row r="49" spans="8:9">
      <c r="H49" s="395">
        <v>43</v>
      </c>
      <c r="I49" s="384">
        <v>729</v>
      </c>
    </row>
    <row r="50" spans="8:9">
      <c r="H50" s="395">
        <v>44</v>
      </c>
      <c r="I50" s="384">
        <v>730</v>
      </c>
    </row>
    <row r="51" spans="8:9">
      <c r="H51" s="394">
        <v>45</v>
      </c>
      <c r="I51" s="384">
        <v>731</v>
      </c>
    </row>
    <row r="52" spans="8:9">
      <c r="H52" s="395">
        <v>46</v>
      </c>
      <c r="I52" s="384">
        <v>732</v>
      </c>
    </row>
    <row r="53" spans="8:9">
      <c r="H53" s="395">
        <v>47</v>
      </c>
      <c r="I53" s="384">
        <v>757</v>
      </c>
    </row>
    <row r="54" spans="8:9">
      <c r="H54" s="395">
        <v>48</v>
      </c>
      <c r="I54" s="384">
        <v>845</v>
      </c>
    </row>
    <row r="55" spans="8:9">
      <c r="H55" s="394">
        <v>49</v>
      </c>
      <c r="I55" s="384">
        <v>860</v>
      </c>
    </row>
    <row r="56" spans="8:9">
      <c r="H56" s="395">
        <v>50</v>
      </c>
      <c r="I56" s="385">
        <v>861</v>
      </c>
    </row>
    <row r="57" spans="8:9">
      <c r="H57" s="395">
        <v>51</v>
      </c>
      <c r="I57" s="384">
        <v>873</v>
      </c>
    </row>
    <row r="58" spans="8:9">
      <c r="H58" s="395">
        <v>52</v>
      </c>
      <c r="I58" s="385">
        <v>902</v>
      </c>
    </row>
    <row r="59" spans="8:9">
      <c r="H59" s="394">
        <v>53</v>
      </c>
      <c r="I59" s="385">
        <v>903</v>
      </c>
    </row>
    <row r="60" spans="8:9">
      <c r="H60" s="395">
        <v>54</v>
      </c>
      <c r="I60" s="385">
        <v>967</v>
      </c>
    </row>
    <row r="61" spans="8:9">
      <c r="H61" s="395">
        <v>55</v>
      </c>
      <c r="I61" s="384">
        <v>991</v>
      </c>
    </row>
    <row r="62" spans="8:9">
      <c r="H62" s="395">
        <v>56</v>
      </c>
      <c r="I62" s="384">
        <v>993</v>
      </c>
    </row>
    <row r="63" spans="8:9">
      <c r="H63" s="394">
        <v>57</v>
      </c>
      <c r="I63" s="384">
        <v>1021</v>
      </c>
    </row>
    <row r="64" spans="8:9">
      <c r="H64" s="395">
        <v>58</v>
      </c>
      <c r="I64" s="384">
        <v>1035</v>
      </c>
    </row>
    <row r="65" spans="8:9">
      <c r="H65" s="395">
        <v>59</v>
      </c>
      <c r="I65" s="384">
        <v>1038</v>
      </c>
    </row>
    <row r="66" spans="8:9">
      <c r="H66" s="395">
        <v>60</v>
      </c>
      <c r="I66" s="384">
        <v>1043</v>
      </c>
    </row>
    <row r="67" spans="8:9">
      <c r="H67" s="394">
        <v>61</v>
      </c>
      <c r="I67" s="384">
        <v>1044</v>
      </c>
    </row>
    <row r="68" spans="8:9">
      <c r="H68" s="395">
        <v>62</v>
      </c>
      <c r="I68" s="384">
        <v>1046</v>
      </c>
    </row>
    <row r="69" spans="8:9">
      <c r="H69" s="395">
        <v>63</v>
      </c>
      <c r="I69" s="384">
        <v>1050</v>
      </c>
    </row>
    <row r="70" spans="8:9">
      <c r="H70" s="395">
        <v>64</v>
      </c>
      <c r="I70" s="384">
        <v>1052</v>
      </c>
    </row>
    <row r="71" spans="8:9">
      <c r="H71" s="394">
        <v>65</v>
      </c>
      <c r="I71" s="384">
        <v>1055</v>
      </c>
    </row>
    <row r="72" spans="8:9">
      <c r="H72" s="395">
        <v>66</v>
      </c>
      <c r="I72" s="384">
        <v>1063</v>
      </c>
    </row>
    <row r="73" spans="8:9">
      <c r="H73" s="395">
        <v>67</v>
      </c>
      <c r="I73" s="384">
        <v>1068</v>
      </c>
    </row>
    <row r="74" spans="8:9">
      <c r="H74" s="395">
        <v>68</v>
      </c>
      <c r="I74" s="384">
        <v>1069</v>
      </c>
    </row>
    <row r="75" spans="8:9">
      <c r="H75" s="394">
        <v>69</v>
      </c>
      <c r="I75" s="384">
        <v>1109</v>
      </c>
    </row>
    <row r="76" spans="8:9">
      <c r="H76" s="395">
        <v>70</v>
      </c>
      <c r="I76" s="384">
        <v>1142</v>
      </c>
    </row>
    <row r="77" spans="8:9">
      <c r="H77" s="395">
        <v>71</v>
      </c>
      <c r="I77" s="384">
        <v>1159</v>
      </c>
    </row>
    <row r="78" spans="8:9">
      <c r="H78" s="395">
        <v>72</v>
      </c>
      <c r="I78" s="384">
        <v>1160</v>
      </c>
    </row>
    <row r="79" spans="8:9">
      <c r="H79" s="394">
        <v>73</v>
      </c>
      <c r="I79" s="384">
        <v>1161</v>
      </c>
    </row>
    <row r="80" spans="8:9">
      <c r="H80" s="395">
        <v>74</v>
      </c>
      <c r="I80" s="384">
        <v>1162</v>
      </c>
    </row>
    <row r="81" spans="8:9">
      <c r="H81" s="395">
        <v>75</v>
      </c>
      <c r="I81" s="384">
        <v>1168</v>
      </c>
    </row>
    <row r="82" spans="8:9">
      <c r="H82" s="394">
        <v>76</v>
      </c>
      <c r="I82" s="384">
        <v>1184</v>
      </c>
    </row>
    <row r="83" spans="8:9">
      <c r="H83" s="395">
        <v>77</v>
      </c>
      <c r="I83" s="384">
        <v>1185</v>
      </c>
    </row>
    <row r="84" spans="8:9">
      <c r="H84" s="395">
        <v>78</v>
      </c>
      <c r="I84" s="384">
        <v>1186</v>
      </c>
    </row>
    <row r="85" spans="8:9">
      <c r="H85" s="395">
        <v>79</v>
      </c>
      <c r="I85" s="384">
        <v>1187</v>
      </c>
    </row>
    <row r="86" spans="8:9">
      <c r="H86" s="394">
        <v>80</v>
      </c>
      <c r="I86" s="384">
        <v>1189</v>
      </c>
    </row>
    <row r="87" spans="8:9">
      <c r="H87" s="395">
        <v>81</v>
      </c>
      <c r="I87" s="384">
        <v>1191</v>
      </c>
    </row>
    <row r="88" spans="8:9">
      <c r="H88" s="395">
        <v>82</v>
      </c>
      <c r="I88" s="384">
        <v>1192</v>
      </c>
    </row>
    <row r="89" spans="8:9">
      <c r="H89" s="394">
        <v>83</v>
      </c>
      <c r="I89" s="384">
        <v>1193</v>
      </c>
    </row>
    <row r="90" spans="8:9">
      <c r="H90" s="395">
        <v>84</v>
      </c>
      <c r="I90" s="384">
        <v>1194</v>
      </c>
    </row>
    <row r="91" spans="8:9">
      <c r="H91" s="395">
        <v>85</v>
      </c>
      <c r="I91" s="384">
        <v>1209</v>
      </c>
    </row>
    <row r="92" spans="8:9">
      <c r="H92" s="395">
        <v>86</v>
      </c>
      <c r="I92" s="384">
        <v>1211</v>
      </c>
    </row>
    <row r="93" spans="8:9">
      <c r="H93" s="394">
        <v>87</v>
      </c>
      <c r="I93" s="385">
        <v>1222</v>
      </c>
    </row>
    <row r="94" spans="8:9">
      <c r="H94" s="395">
        <v>88</v>
      </c>
      <c r="I94" s="384">
        <v>1234</v>
      </c>
    </row>
    <row r="95" spans="8:9">
      <c r="H95" s="395">
        <v>89</v>
      </c>
      <c r="I95" s="384">
        <v>1241</v>
      </c>
    </row>
    <row r="96" spans="8:9">
      <c r="H96" s="394">
        <v>90</v>
      </c>
      <c r="I96" s="384">
        <v>1262</v>
      </c>
    </row>
    <row r="97" spans="8:9">
      <c r="H97" s="395">
        <v>91</v>
      </c>
      <c r="I97" s="384">
        <v>1268</v>
      </c>
    </row>
    <row r="98" spans="8:9">
      <c r="H98" s="394">
        <v>92</v>
      </c>
      <c r="I98" s="384">
        <v>1291</v>
      </c>
    </row>
    <row r="99" spans="8:9">
      <c r="H99" s="395">
        <v>93</v>
      </c>
      <c r="I99" s="384">
        <v>1336</v>
      </c>
    </row>
    <row r="100" spans="8:9">
      <c r="H100" s="395">
        <v>94</v>
      </c>
      <c r="I100" s="384">
        <v>1384</v>
      </c>
    </row>
    <row r="101" spans="8:9">
      <c r="H101" s="394">
        <v>95</v>
      </c>
      <c r="I101" s="384">
        <v>1392</v>
      </c>
    </row>
    <row r="102" spans="8:9">
      <c r="H102" s="395">
        <v>96</v>
      </c>
      <c r="I102" s="384">
        <v>1433</v>
      </c>
    </row>
    <row r="103" spans="8:9">
      <c r="H103" s="394">
        <v>97</v>
      </c>
      <c r="I103" s="384">
        <v>1434</v>
      </c>
    </row>
    <row r="104" spans="8:9">
      <c r="H104" s="395">
        <v>98</v>
      </c>
      <c r="I104" s="384">
        <v>1435</v>
      </c>
    </row>
    <row r="105" spans="8:9">
      <c r="H105" s="395">
        <v>99</v>
      </c>
      <c r="I105" s="384">
        <v>1436</v>
      </c>
    </row>
    <row r="106" spans="8:9">
      <c r="H106" s="394">
        <v>100</v>
      </c>
      <c r="I106" s="384">
        <v>1472</v>
      </c>
    </row>
    <row r="107" spans="8:9">
      <c r="H107" s="395">
        <v>101</v>
      </c>
      <c r="I107" s="384">
        <v>1473</v>
      </c>
    </row>
    <row r="108" spans="8:9">
      <c r="H108" s="394">
        <v>102</v>
      </c>
      <c r="I108" s="384">
        <v>1517</v>
      </c>
    </row>
    <row r="109" spans="8:9">
      <c r="H109" s="395">
        <v>103</v>
      </c>
      <c r="I109" s="384">
        <v>1518</v>
      </c>
    </row>
    <row r="110" spans="8:9">
      <c r="H110" s="395">
        <v>104</v>
      </c>
      <c r="I110" s="384">
        <v>1523</v>
      </c>
    </row>
    <row r="111" spans="8:9">
      <c r="H111" s="394">
        <v>105</v>
      </c>
      <c r="I111" s="384">
        <v>1532</v>
      </c>
    </row>
  </sheetData>
  <sortState ref="I7:I111">
    <sortCondition ref="I1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"/>
  <sheetViews>
    <sheetView showGridLines="0" zoomScale="96" zoomScaleNormal="96" workbookViewId="0">
      <selection activeCell="K154" sqref="K154"/>
    </sheetView>
  </sheetViews>
  <sheetFormatPr baseColWidth="10" defaultColWidth="11.42578125" defaultRowHeight="12"/>
  <cols>
    <col min="1" max="1" width="16.140625" style="8" customWidth="1"/>
    <col min="2" max="2" width="23" style="10" bestFit="1" customWidth="1"/>
    <col min="3" max="3" width="29.140625" style="10" customWidth="1"/>
    <col min="4" max="4" width="19.5703125" style="8" bestFit="1" customWidth="1"/>
    <col min="5" max="6" width="21.5703125" style="9" bestFit="1" customWidth="1"/>
    <col min="7" max="7" width="18" style="10" bestFit="1" customWidth="1"/>
    <col min="8" max="8" width="17.5703125" style="9" bestFit="1" customWidth="1"/>
    <col min="9" max="9" width="12" style="8" bestFit="1" customWidth="1"/>
    <col min="10" max="10" width="14.5703125" style="8" bestFit="1" customWidth="1"/>
    <col min="11" max="16384" width="11.42578125" style="8"/>
  </cols>
  <sheetData>
    <row r="1" spans="2:11" ht="7.9" customHeight="1">
      <c r="B1" s="16"/>
      <c r="C1" s="16"/>
      <c r="D1" s="15"/>
      <c r="E1" s="17"/>
      <c r="F1" s="17"/>
      <c r="G1" s="16"/>
      <c r="H1" s="17"/>
      <c r="I1" s="15"/>
      <c r="J1" s="15"/>
    </row>
    <row r="2" spans="2:11" ht="17.45" customHeight="1">
      <c r="B2" s="574" t="s">
        <v>189</v>
      </c>
      <c r="C2" s="575"/>
      <c r="D2" s="575"/>
      <c r="E2" s="575"/>
      <c r="F2" s="575"/>
      <c r="G2" s="575"/>
      <c r="H2" s="575"/>
      <c r="I2" s="575"/>
      <c r="J2" s="576"/>
    </row>
    <row r="3" spans="2:11">
      <c r="B3" s="577">
        <f>+RESUMEN!B3</f>
        <v>45481</v>
      </c>
      <c r="C3" s="578"/>
      <c r="D3" s="578"/>
      <c r="E3" s="578"/>
      <c r="F3" s="578"/>
      <c r="G3" s="578"/>
      <c r="H3" s="578"/>
      <c r="I3" s="578"/>
      <c r="J3" s="579"/>
    </row>
    <row r="4" spans="2:11">
      <c r="B4" s="580"/>
      <c r="C4" s="580"/>
      <c r="D4" s="580"/>
      <c r="E4" s="580"/>
      <c r="F4" s="580"/>
      <c r="G4" s="580"/>
      <c r="H4" s="580"/>
      <c r="I4" s="580"/>
      <c r="J4" s="580"/>
    </row>
    <row r="5" spans="2:11" ht="12" customHeight="1"/>
    <row r="6" spans="2:11" ht="13.5" customHeight="1"/>
    <row r="7" spans="2:11" ht="12.75" thickBot="1">
      <c r="B7" s="143" t="s">
        <v>58</v>
      </c>
      <c r="C7" s="143" t="s">
        <v>59</v>
      </c>
      <c r="D7" s="143" t="s">
        <v>60</v>
      </c>
      <c r="E7" s="143" t="s">
        <v>137</v>
      </c>
      <c r="F7" s="302" t="s">
        <v>65</v>
      </c>
      <c r="G7" s="303" t="s">
        <v>80</v>
      </c>
      <c r="H7" s="143" t="s">
        <v>136</v>
      </c>
      <c r="I7" s="143" t="s">
        <v>81</v>
      </c>
      <c r="J7" s="143" t="s">
        <v>64</v>
      </c>
    </row>
    <row r="8" spans="2:11">
      <c r="B8" s="556" t="s">
        <v>152</v>
      </c>
      <c r="C8" s="556">
        <v>1021</v>
      </c>
      <c r="D8" s="558">
        <v>45404</v>
      </c>
      <c r="E8" s="571">
        <v>3000</v>
      </c>
      <c r="F8" s="148" t="s">
        <v>339</v>
      </c>
      <c r="G8" s="148">
        <v>267.62200000000001</v>
      </c>
      <c r="H8" s="554">
        <f>G8+G9+G10+G11+G12+G13</f>
        <v>1261.4780000000001</v>
      </c>
      <c r="I8" s="541">
        <f>E8-H8</f>
        <v>1738.5219999999999</v>
      </c>
      <c r="J8" s="544">
        <f>H8/E8</f>
        <v>0.42049266666666668</v>
      </c>
    </row>
    <row r="9" spans="2:11">
      <c r="B9" s="557"/>
      <c r="C9" s="557"/>
      <c r="D9" s="559"/>
      <c r="E9" s="572"/>
      <c r="F9" s="149" t="s">
        <v>340</v>
      </c>
      <c r="G9" s="149"/>
      <c r="H9" s="555"/>
      <c r="I9" s="542"/>
      <c r="J9" s="545"/>
    </row>
    <row r="10" spans="2:11">
      <c r="B10" s="557"/>
      <c r="C10" s="557"/>
      <c r="D10" s="559"/>
      <c r="E10" s="572"/>
      <c r="F10" s="149" t="s">
        <v>341</v>
      </c>
      <c r="G10" s="149">
        <v>947.81</v>
      </c>
      <c r="H10" s="555"/>
      <c r="I10" s="542"/>
      <c r="J10" s="545"/>
    </row>
    <row r="11" spans="2:11">
      <c r="B11" s="557"/>
      <c r="C11" s="557"/>
      <c r="D11" s="559"/>
      <c r="E11" s="572"/>
      <c r="F11" s="149" t="s">
        <v>342</v>
      </c>
      <c r="G11" s="149">
        <v>46.045999999999999</v>
      </c>
      <c r="H11" s="555"/>
      <c r="I11" s="542"/>
      <c r="J11" s="545"/>
    </row>
    <row r="12" spans="2:11">
      <c r="B12" s="557"/>
      <c r="C12" s="557"/>
      <c r="D12" s="559"/>
      <c r="E12" s="572"/>
      <c r="F12" s="149" t="s">
        <v>343</v>
      </c>
      <c r="G12" s="149"/>
      <c r="H12" s="555"/>
      <c r="I12" s="542"/>
      <c r="J12" s="545"/>
    </row>
    <row r="13" spans="2:11" ht="12.75" thickBot="1">
      <c r="B13" s="562"/>
      <c r="C13" s="562"/>
      <c r="D13" s="581"/>
      <c r="E13" s="582"/>
      <c r="F13" s="150" t="s">
        <v>344</v>
      </c>
      <c r="G13" s="150"/>
      <c r="H13" s="583"/>
      <c r="I13" s="543"/>
      <c r="J13" s="546"/>
    </row>
    <row r="14" spans="2:11">
      <c r="B14" s="556" t="s">
        <v>150</v>
      </c>
      <c r="C14" s="556">
        <v>1038</v>
      </c>
      <c r="D14" s="558">
        <v>45406</v>
      </c>
      <c r="E14" s="571">
        <v>36085</v>
      </c>
      <c r="F14" s="148" t="s">
        <v>345</v>
      </c>
      <c r="G14" s="148">
        <f>567.269+4839.967</f>
        <v>5407.2359999999999</v>
      </c>
      <c r="H14" s="554">
        <f>G14+G15+G16</f>
        <v>11245.759</v>
      </c>
      <c r="I14" s="541">
        <f>E14-H14</f>
        <v>24839.241000000002</v>
      </c>
      <c r="J14" s="544">
        <f>H14/E14</f>
        <v>0.31164636275460716</v>
      </c>
      <c r="K14" s="301"/>
    </row>
    <row r="15" spans="2:11">
      <c r="B15" s="557"/>
      <c r="C15" s="557"/>
      <c r="D15" s="559"/>
      <c r="E15" s="572"/>
      <c r="F15" s="149" t="s">
        <v>346</v>
      </c>
      <c r="G15" s="149">
        <v>1951.9849999999999</v>
      </c>
      <c r="H15" s="555"/>
      <c r="I15" s="542"/>
      <c r="J15" s="545"/>
      <c r="K15" s="301"/>
    </row>
    <row r="16" spans="2:11" ht="12.75" thickBot="1">
      <c r="B16" s="562"/>
      <c r="C16" s="562"/>
      <c r="D16" s="581"/>
      <c r="E16" s="582"/>
      <c r="F16" s="150" t="s">
        <v>347</v>
      </c>
      <c r="G16" s="150">
        <v>3886.538</v>
      </c>
      <c r="H16" s="583"/>
      <c r="I16" s="543"/>
      <c r="J16" s="546"/>
      <c r="K16" s="301"/>
    </row>
    <row r="17" spans="2:10">
      <c r="B17" s="566" t="s">
        <v>385</v>
      </c>
      <c r="C17" s="556">
        <v>1046</v>
      </c>
      <c r="D17" s="558">
        <v>45407</v>
      </c>
      <c r="E17" s="571">
        <v>659</v>
      </c>
      <c r="F17" s="148" t="s">
        <v>386</v>
      </c>
      <c r="G17" s="148">
        <v>0</v>
      </c>
      <c r="H17" s="554">
        <f>SUM(G17:G19)</f>
        <v>659</v>
      </c>
      <c r="I17" s="541">
        <f>E17-H17</f>
        <v>0</v>
      </c>
      <c r="J17" s="544">
        <f>H17/E17</f>
        <v>1</v>
      </c>
    </row>
    <row r="18" spans="2:10">
      <c r="B18" s="573"/>
      <c r="C18" s="557"/>
      <c r="D18" s="559"/>
      <c r="E18" s="572"/>
      <c r="F18" s="149" t="s">
        <v>387</v>
      </c>
      <c r="G18" s="149">
        <v>0</v>
      </c>
      <c r="H18" s="555"/>
      <c r="I18" s="542"/>
      <c r="J18" s="545"/>
    </row>
    <row r="19" spans="2:10" ht="12.75" thickBot="1">
      <c r="B19" s="573"/>
      <c r="C19" s="557"/>
      <c r="D19" s="559"/>
      <c r="E19" s="572"/>
      <c r="F19" s="304" t="s">
        <v>388</v>
      </c>
      <c r="G19" s="304">
        <v>659</v>
      </c>
      <c r="H19" s="555"/>
      <c r="I19" s="542"/>
      <c r="J19" s="545"/>
    </row>
    <row r="20" spans="2:10">
      <c r="B20" s="556" t="s">
        <v>157</v>
      </c>
      <c r="C20" s="556">
        <v>1044</v>
      </c>
      <c r="D20" s="558">
        <v>45407</v>
      </c>
      <c r="E20" s="571">
        <v>11000</v>
      </c>
      <c r="F20" s="148" t="s">
        <v>389</v>
      </c>
      <c r="G20" s="148">
        <v>2493.5439999999999</v>
      </c>
      <c r="H20" s="554">
        <f>G20+G21+G22+G23+G24</f>
        <v>9282.3809999999994</v>
      </c>
      <c r="I20" s="541">
        <f>E20-H20</f>
        <v>1717.6190000000006</v>
      </c>
      <c r="J20" s="544">
        <f>H20/E20</f>
        <v>0.84385281818181812</v>
      </c>
    </row>
    <row r="21" spans="2:10">
      <c r="B21" s="557"/>
      <c r="C21" s="557"/>
      <c r="D21" s="559"/>
      <c r="E21" s="572"/>
      <c r="F21" s="149" t="s">
        <v>390</v>
      </c>
      <c r="G21" s="149">
        <v>2589.4769999999999</v>
      </c>
      <c r="H21" s="555"/>
      <c r="I21" s="542"/>
      <c r="J21" s="545"/>
    </row>
    <row r="22" spans="2:10">
      <c r="B22" s="557"/>
      <c r="C22" s="557"/>
      <c r="D22" s="559"/>
      <c r="E22" s="572"/>
      <c r="F22" s="149" t="s">
        <v>391</v>
      </c>
      <c r="G22" s="149">
        <v>1009.1420000000001</v>
      </c>
      <c r="H22" s="555"/>
      <c r="I22" s="542"/>
      <c r="J22" s="545"/>
    </row>
    <row r="23" spans="2:10">
      <c r="B23" s="557"/>
      <c r="C23" s="557"/>
      <c r="D23" s="559"/>
      <c r="E23" s="572"/>
      <c r="F23" s="149" t="s">
        <v>392</v>
      </c>
      <c r="G23" s="149">
        <v>1150.4849999999999</v>
      </c>
      <c r="H23" s="555"/>
      <c r="I23" s="542"/>
      <c r="J23" s="545"/>
    </row>
    <row r="24" spans="2:10" ht="12.75" thickBot="1">
      <c r="B24" s="557"/>
      <c r="C24" s="557"/>
      <c r="D24" s="559"/>
      <c r="E24" s="572"/>
      <c r="F24" s="304" t="s">
        <v>393</v>
      </c>
      <c r="G24" s="304">
        <v>2039.7329999999999</v>
      </c>
      <c r="H24" s="555"/>
      <c r="I24" s="542"/>
      <c r="J24" s="545"/>
    </row>
    <row r="25" spans="2:10">
      <c r="B25" s="550" t="s">
        <v>157</v>
      </c>
      <c r="C25" s="550">
        <v>1043</v>
      </c>
      <c r="D25" s="568">
        <v>45407</v>
      </c>
      <c r="E25" s="569">
        <v>658</v>
      </c>
      <c r="F25" s="305" t="s">
        <v>389</v>
      </c>
      <c r="G25" s="148"/>
      <c r="H25" s="551">
        <f>SUM(G25:G29)</f>
        <v>658</v>
      </c>
      <c r="I25" s="541">
        <f>E25-H25</f>
        <v>0</v>
      </c>
      <c r="J25" s="544">
        <f>H25/E25</f>
        <v>1</v>
      </c>
    </row>
    <row r="26" spans="2:10">
      <c r="B26" s="550"/>
      <c r="C26" s="550"/>
      <c r="D26" s="568"/>
      <c r="E26" s="570"/>
      <c r="F26" s="306" t="s">
        <v>390</v>
      </c>
      <c r="G26" s="149"/>
      <c r="H26" s="552"/>
      <c r="I26" s="542"/>
      <c r="J26" s="545"/>
    </row>
    <row r="27" spans="2:10">
      <c r="B27" s="550"/>
      <c r="C27" s="550"/>
      <c r="D27" s="568"/>
      <c r="E27" s="570"/>
      <c r="F27" s="306" t="s">
        <v>391</v>
      </c>
      <c r="G27" s="149">
        <v>658</v>
      </c>
      <c r="H27" s="552"/>
      <c r="I27" s="542"/>
      <c r="J27" s="545"/>
    </row>
    <row r="28" spans="2:10">
      <c r="B28" s="550"/>
      <c r="C28" s="550"/>
      <c r="D28" s="568"/>
      <c r="E28" s="570"/>
      <c r="F28" s="306" t="s">
        <v>392</v>
      </c>
      <c r="G28" s="149"/>
      <c r="H28" s="552"/>
      <c r="I28" s="542"/>
      <c r="J28" s="545"/>
    </row>
    <row r="29" spans="2:10" ht="12.75" thickBot="1">
      <c r="B29" s="556"/>
      <c r="C29" s="556"/>
      <c r="D29" s="558"/>
      <c r="E29" s="570"/>
      <c r="F29" s="307" t="s">
        <v>393</v>
      </c>
      <c r="G29" s="304"/>
      <c r="H29" s="552"/>
      <c r="I29" s="542"/>
      <c r="J29" s="545"/>
    </row>
    <row r="30" spans="2:10">
      <c r="B30" s="565" t="s">
        <v>385</v>
      </c>
      <c r="C30" s="556">
        <v>1050</v>
      </c>
      <c r="D30" s="558">
        <v>45407</v>
      </c>
      <c r="E30" s="563">
        <v>4010</v>
      </c>
      <c r="F30" s="148" t="s">
        <v>386</v>
      </c>
      <c r="G30" s="148"/>
      <c r="H30" s="551">
        <f>SUM(G30:G32)</f>
        <v>2881.29</v>
      </c>
      <c r="I30" s="541">
        <f>E30-H30</f>
        <v>1128.71</v>
      </c>
      <c r="J30" s="544">
        <f>H30/E30</f>
        <v>0.71852618453865336</v>
      </c>
    </row>
    <row r="31" spans="2:10">
      <c r="B31" s="565"/>
      <c r="C31" s="557"/>
      <c r="D31" s="559"/>
      <c r="E31" s="564"/>
      <c r="F31" s="149" t="s">
        <v>387</v>
      </c>
      <c r="G31" s="149">
        <v>1835.53</v>
      </c>
      <c r="H31" s="552"/>
      <c r="I31" s="542"/>
      <c r="J31" s="545"/>
    </row>
    <row r="32" spans="2:10" ht="12.75" thickBot="1">
      <c r="B32" s="566"/>
      <c r="C32" s="557"/>
      <c r="D32" s="559"/>
      <c r="E32" s="564"/>
      <c r="F32" s="304" t="s">
        <v>388</v>
      </c>
      <c r="G32" s="304">
        <v>1045.76</v>
      </c>
      <c r="H32" s="552"/>
      <c r="I32" s="542"/>
      <c r="J32" s="545"/>
    </row>
    <row r="33" spans="2:10">
      <c r="B33" s="556" t="s">
        <v>146</v>
      </c>
      <c r="C33" s="556">
        <v>1168</v>
      </c>
      <c r="D33" s="558">
        <v>45419</v>
      </c>
      <c r="E33" s="560">
        <v>10000</v>
      </c>
      <c r="F33" s="148" t="s">
        <v>416</v>
      </c>
      <c r="G33" s="148">
        <v>3180.8879999999999</v>
      </c>
      <c r="H33" s="567">
        <f>SUM(G33:G43)</f>
        <v>8348.9510000000009</v>
      </c>
      <c r="I33" s="554">
        <f>E33-H33</f>
        <v>1651.0489999999991</v>
      </c>
      <c r="J33" s="544">
        <f>H33/E33</f>
        <v>0.83489510000000011</v>
      </c>
    </row>
    <row r="34" spans="2:10" ht="15" customHeight="1">
      <c r="B34" s="557"/>
      <c r="C34" s="557"/>
      <c r="D34" s="559"/>
      <c r="E34" s="561"/>
      <c r="F34" s="149" t="s">
        <v>417</v>
      </c>
      <c r="G34" s="149">
        <v>1214.8499999999999</v>
      </c>
      <c r="H34" s="567"/>
      <c r="I34" s="555"/>
      <c r="J34" s="545"/>
    </row>
    <row r="35" spans="2:10" ht="15" customHeight="1">
      <c r="B35" s="557"/>
      <c r="C35" s="557"/>
      <c r="D35" s="559"/>
      <c r="E35" s="561"/>
      <c r="F35" s="149" t="s">
        <v>418</v>
      </c>
      <c r="G35" s="149">
        <v>1278.4670000000001</v>
      </c>
      <c r="H35" s="567"/>
      <c r="I35" s="555"/>
      <c r="J35" s="545"/>
    </row>
    <row r="36" spans="2:10" ht="15" customHeight="1">
      <c r="B36" s="557"/>
      <c r="C36" s="557"/>
      <c r="D36" s="559"/>
      <c r="E36" s="561"/>
      <c r="F36" s="149" t="s">
        <v>419</v>
      </c>
      <c r="G36" s="149">
        <v>1689.431</v>
      </c>
      <c r="H36" s="567"/>
      <c r="I36" s="555"/>
      <c r="J36" s="545"/>
    </row>
    <row r="37" spans="2:10" ht="15.75" customHeight="1" thickBot="1">
      <c r="B37" s="562"/>
      <c r="C37" s="557"/>
      <c r="D37" s="559"/>
      <c r="E37" s="561"/>
      <c r="F37" s="150" t="s">
        <v>420</v>
      </c>
      <c r="G37" s="150">
        <v>985.31500000000005</v>
      </c>
      <c r="H37" s="567"/>
      <c r="I37" s="555"/>
      <c r="J37" s="545"/>
    </row>
    <row r="38" spans="2:10" ht="15" customHeight="1">
      <c r="B38" s="556" t="s">
        <v>147</v>
      </c>
      <c r="C38" s="557"/>
      <c r="D38" s="559"/>
      <c r="E38" s="561"/>
      <c r="F38" s="148" t="s">
        <v>421</v>
      </c>
      <c r="G38" s="148"/>
      <c r="H38" s="567"/>
      <c r="I38" s="555"/>
      <c r="J38" s="545"/>
    </row>
    <row r="39" spans="2:10" ht="15" customHeight="1">
      <c r="B39" s="557"/>
      <c r="C39" s="557"/>
      <c r="D39" s="559"/>
      <c r="E39" s="561"/>
      <c r="F39" s="149" t="s">
        <v>422</v>
      </c>
      <c r="G39" s="149"/>
      <c r="H39" s="567"/>
      <c r="I39" s="555"/>
      <c r="J39" s="545"/>
    </row>
    <row r="40" spans="2:10" ht="15" customHeight="1">
      <c r="B40" s="557"/>
      <c r="C40" s="557"/>
      <c r="D40" s="559"/>
      <c r="E40" s="561"/>
      <c r="F40" s="149" t="s">
        <v>423</v>
      </c>
      <c r="G40" s="149"/>
      <c r="H40" s="567"/>
      <c r="I40" s="555"/>
      <c r="J40" s="545"/>
    </row>
    <row r="41" spans="2:10" ht="15" customHeight="1">
      <c r="B41" s="557"/>
      <c r="C41" s="557"/>
      <c r="D41" s="559"/>
      <c r="E41" s="561"/>
      <c r="F41" s="149" t="s">
        <v>424</v>
      </c>
      <c r="G41" s="149"/>
      <c r="H41" s="567"/>
      <c r="I41" s="555"/>
      <c r="J41" s="545"/>
    </row>
    <row r="42" spans="2:10" ht="15" customHeight="1">
      <c r="B42" s="557"/>
      <c r="C42" s="557"/>
      <c r="D42" s="559"/>
      <c r="E42" s="561"/>
      <c r="F42" s="149" t="s">
        <v>425</v>
      </c>
      <c r="G42" s="149"/>
      <c r="H42" s="567"/>
      <c r="I42" s="555"/>
      <c r="J42" s="545"/>
    </row>
    <row r="43" spans="2:10" ht="15.75" customHeight="1" thickBot="1">
      <c r="B43" s="557"/>
      <c r="C43" s="557"/>
      <c r="D43" s="559"/>
      <c r="E43" s="561"/>
      <c r="F43" s="150" t="s">
        <v>426</v>
      </c>
      <c r="G43" s="150"/>
      <c r="H43" s="554"/>
      <c r="I43" s="555"/>
      <c r="J43" s="545"/>
    </row>
    <row r="44" spans="2:10">
      <c r="B44" s="556" t="s">
        <v>152</v>
      </c>
      <c r="C44" s="556">
        <v>1051</v>
      </c>
      <c r="D44" s="558">
        <v>45407</v>
      </c>
      <c r="E44" s="560">
        <v>4010</v>
      </c>
      <c r="F44" s="148" t="s">
        <v>339</v>
      </c>
      <c r="G44" s="353">
        <v>940.59500000000003</v>
      </c>
      <c r="H44" s="554">
        <f>SUM(G44:G49)</f>
        <v>1630.4050000000002</v>
      </c>
      <c r="I44" s="541">
        <f>E44-H44</f>
        <v>2379.5949999999998</v>
      </c>
      <c r="J44" s="544">
        <f>H44/E44</f>
        <v>0.40658478802992526</v>
      </c>
    </row>
    <row r="45" spans="2:10">
      <c r="B45" s="557"/>
      <c r="C45" s="557"/>
      <c r="D45" s="559"/>
      <c r="E45" s="561"/>
      <c r="F45" s="149" t="s">
        <v>340</v>
      </c>
      <c r="G45" s="354"/>
      <c r="H45" s="555"/>
      <c r="I45" s="542"/>
      <c r="J45" s="545"/>
    </row>
    <row r="46" spans="2:10">
      <c r="B46" s="557"/>
      <c r="C46" s="557"/>
      <c r="D46" s="559"/>
      <c r="E46" s="561"/>
      <c r="F46" s="149" t="s">
        <v>341</v>
      </c>
      <c r="G46" s="354"/>
      <c r="H46" s="555"/>
      <c r="I46" s="542"/>
      <c r="J46" s="545"/>
    </row>
    <row r="47" spans="2:10">
      <c r="B47" s="557"/>
      <c r="C47" s="557"/>
      <c r="D47" s="559"/>
      <c r="E47" s="561"/>
      <c r="F47" s="149" t="s">
        <v>342</v>
      </c>
      <c r="G47" s="354">
        <v>194.45</v>
      </c>
      <c r="H47" s="555"/>
      <c r="I47" s="542"/>
      <c r="J47" s="545"/>
    </row>
    <row r="48" spans="2:10">
      <c r="B48" s="557"/>
      <c r="C48" s="557"/>
      <c r="D48" s="559"/>
      <c r="E48" s="561"/>
      <c r="F48" s="149" t="s">
        <v>343</v>
      </c>
      <c r="G48" s="354">
        <v>23.01</v>
      </c>
      <c r="H48" s="555"/>
      <c r="I48" s="542"/>
      <c r="J48" s="545"/>
    </row>
    <row r="49" spans="2:10" ht="12.75" thickBot="1">
      <c r="B49" s="557"/>
      <c r="C49" s="557"/>
      <c r="D49" s="559"/>
      <c r="E49" s="561"/>
      <c r="F49" s="304" t="s">
        <v>344</v>
      </c>
      <c r="G49" s="355">
        <v>472.35</v>
      </c>
      <c r="H49" s="555"/>
      <c r="I49" s="542"/>
      <c r="J49" s="545"/>
    </row>
    <row r="50" spans="2:10">
      <c r="B50" s="556" t="s">
        <v>157</v>
      </c>
      <c r="C50" s="556">
        <v>1045</v>
      </c>
      <c r="D50" s="558">
        <v>45407</v>
      </c>
      <c r="E50" s="563">
        <v>9356</v>
      </c>
      <c r="F50" s="148" t="s">
        <v>389</v>
      </c>
      <c r="G50" s="353">
        <v>324.70999999999998</v>
      </c>
      <c r="H50" s="551">
        <f>SUM(G50:G54)</f>
        <v>1405.652</v>
      </c>
      <c r="I50" s="541">
        <f>E50-H50</f>
        <v>7950.348</v>
      </c>
      <c r="J50" s="544">
        <f>H50/E50</f>
        <v>0.15024070115433946</v>
      </c>
    </row>
    <row r="51" spans="2:10">
      <c r="B51" s="557"/>
      <c r="C51" s="557"/>
      <c r="D51" s="559"/>
      <c r="E51" s="564"/>
      <c r="F51" s="149" t="s">
        <v>390</v>
      </c>
      <c r="G51" s="354">
        <v>286.02</v>
      </c>
      <c r="H51" s="552"/>
      <c r="I51" s="542"/>
      <c r="J51" s="545"/>
    </row>
    <row r="52" spans="2:10">
      <c r="B52" s="557"/>
      <c r="C52" s="557"/>
      <c r="D52" s="559"/>
      <c r="E52" s="564"/>
      <c r="F52" s="149" t="s">
        <v>391</v>
      </c>
      <c r="G52" s="354">
        <v>348.69</v>
      </c>
      <c r="H52" s="552"/>
      <c r="I52" s="542"/>
      <c r="J52" s="545"/>
    </row>
    <row r="53" spans="2:10">
      <c r="B53" s="557"/>
      <c r="C53" s="557"/>
      <c r="D53" s="559"/>
      <c r="E53" s="564"/>
      <c r="F53" s="149" t="s">
        <v>392</v>
      </c>
      <c r="G53" s="354">
        <v>446.23200000000003</v>
      </c>
      <c r="H53" s="552"/>
      <c r="I53" s="542"/>
      <c r="J53" s="545"/>
    </row>
    <row r="54" spans="2:10" ht="12.75" thickBot="1">
      <c r="B54" s="557"/>
      <c r="C54" s="557"/>
      <c r="D54" s="559"/>
      <c r="E54" s="564"/>
      <c r="F54" s="304" t="s">
        <v>393</v>
      </c>
      <c r="G54" s="355"/>
      <c r="H54" s="552"/>
      <c r="I54" s="542"/>
      <c r="J54" s="545"/>
    </row>
    <row r="55" spans="2:10">
      <c r="B55" s="556" t="s">
        <v>146</v>
      </c>
      <c r="C55" s="556">
        <v>1222</v>
      </c>
      <c r="D55" s="558">
        <v>45427</v>
      </c>
      <c r="E55" s="560">
        <v>10000</v>
      </c>
      <c r="F55" s="148" t="s">
        <v>416</v>
      </c>
      <c r="G55" s="148"/>
      <c r="H55" s="554">
        <f>G55:G65</f>
        <v>0</v>
      </c>
      <c r="I55" s="541">
        <f>E55-H55</f>
        <v>10000</v>
      </c>
      <c r="J55" s="544">
        <f>H55/E55</f>
        <v>0</v>
      </c>
    </row>
    <row r="56" spans="2:10">
      <c r="B56" s="557"/>
      <c r="C56" s="557"/>
      <c r="D56" s="559"/>
      <c r="E56" s="561"/>
      <c r="F56" s="149" t="s">
        <v>417</v>
      </c>
      <c r="G56" s="149"/>
      <c r="H56" s="555"/>
      <c r="I56" s="542"/>
      <c r="J56" s="545"/>
    </row>
    <row r="57" spans="2:10">
      <c r="B57" s="557"/>
      <c r="C57" s="557"/>
      <c r="D57" s="559"/>
      <c r="E57" s="561"/>
      <c r="F57" s="149" t="s">
        <v>431</v>
      </c>
      <c r="G57" s="149"/>
      <c r="H57" s="555"/>
      <c r="I57" s="542"/>
      <c r="J57" s="545"/>
    </row>
    <row r="58" spans="2:10">
      <c r="B58" s="557"/>
      <c r="C58" s="557"/>
      <c r="D58" s="559"/>
      <c r="E58" s="561"/>
      <c r="F58" s="149" t="s">
        <v>419</v>
      </c>
      <c r="G58" s="149"/>
      <c r="H58" s="555"/>
      <c r="I58" s="542"/>
      <c r="J58" s="545"/>
    </row>
    <row r="59" spans="2:10" ht="12.75" thickBot="1">
      <c r="B59" s="562"/>
      <c r="C59" s="557"/>
      <c r="D59" s="559"/>
      <c r="E59" s="561"/>
      <c r="F59" s="150" t="s">
        <v>420</v>
      </c>
      <c r="G59" s="150"/>
      <c r="H59" s="555"/>
      <c r="I59" s="542"/>
      <c r="J59" s="545"/>
    </row>
    <row r="60" spans="2:10">
      <c r="B60" s="556" t="s">
        <v>147</v>
      </c>
      <c r="C60" s="557"/>
      <c r="D60" s="559"/>
      <c r="E60" s="561"/>
      <c r="F60" s="148" t="s">
        <v>421</v>
      </c>
      <c r="G60" s="148"/>
      <c r="H60" s="555"/>
      <c r="I60" s="542"/>
      <c r="J60" s="545"/>
    </row>
    <row r="61" spans="2:10">
      <c r="B61" s="557"/>
      <c r="C61" s="557"/>
      <c r="D61" s="559"/>
      <c r="E61" s="561"/>
      <c r="F61" s="149" t="s">
        <v>422</v>
      </c>
      <c r="G61" s="149"/>
      <c r="H61" s="555"/>
      <c r="I61" s="542"/>
      <c r="J61" s="545"/>
    </row>
    <row r="62" spans="2:10">
      <c r="B62" s="557"/>
      <c r="C62" s="557"/>
      <c r="D62" s="559"/>
      <c r="E62" s="561"/>
      <c r="F62" s="149" t="s">
        <v>423</v>
      </c>
      <c r="G62" s="149"/>
      <c r="H62" s="555"/>
      <c r="I62" s="542"/>
      <c r="J62" s="545"/>
    </row>
    <row r="63" spans="2:10">
      <c r="B63" s="557"/>
      <c r="C63" s="557"/>
      <c r="D63" s="559"/>
      <c r="E63" s="561"/>
      <c r="F63" s="149" t="s">
        <v>424</v>
      </c>
      <c r="G63" s="149"/>
      <c r="H63" s="555"/>
      <c r="I63" s="542"/>
      <c r="J63" s="545"/>
    </row>
    <row r="64" spans="2:10">
      <c r="B64" s="557"/>
      <c r="C64" s="557"/>
      <c r="D64" s="559"/>
      <c r="E64" s="561"/>
      <c r="F64" s="149" t="s">
        <v>425</v>
      </c>
      <c r="G64" s="149"/>
      <c r="H64" s="555"/>
      <c r="I64" s="542"/>
      <c r="J64" s="545"/>
    </row>
    <row r="65" spans="2:10" ht="12.75" thickBot="1">
      <c r="B65" s="557"/>
      <c r="C65" s="557"/>
      <c r="D65" s="559"/>
      <c r="E65" s="561"/>
      <c r="F65" s="304" t="s">
        <v>426</v>
      </c>
      <c r="G65" s="304"/>
      <c r="H65" s="555"/>
      <c r="I65" s="542"/>
      <c r="J65" s="545"/>
    </row>
    <row r="66" spans="2:10">
      <c r="B66" s="556" t="s">
        <v>432</v>
      </c>
      <c r="C66" s="556">
        <v>1234</v>
      </c>
      <c r="D66" s="558">
        <v>45427</v>
      </c>
      <c r="E66" s="560">
        <v>12682</v>
      </c>
      <c r="F66" s="148" t="s">
        <v>386</v>
      </c>
      <c r="G66" s="353">
        <v>2154.62</v>
      </c>
      <c r="H66" s="554">
        <f>SUM(G66:G69)</f>
        <v>4022.85</v>
      </c>
      <c r="I66" s="541">
        <f>E66-H66</f>
        <v>8659.15</v>
      </c>
      <c r="J66" s="544">
        <f>H66/E66</f>
        <v>0.31720943068916574</v>
      </c>
    </row>
    <row r="67" spans="2:10">
      <c r="B67" s="557"/>
      <c r="C67" s="557"/>
      <c r="D67" s="559"/>
      <c r="E67" s="561"/>
      <c r="F67" s="149" t="s">
        <v>387</v>
      </c>
      <c r="G67" s="354">
        <v>1868.23</v>
      </c>
      <c r="H67" s="555"/>
      <c r="I67" s="542"/>
      <c r="J67" s="545"/>
    </row>
    <row r="68" spans="2:10">
      <c r="B68" s="557"/>
      <c r="C68" s="557"/>
      <c r="D68" s="559"/>
      <c r="E68" s="561"/>
      <c r="F68" s="149" t="s">
        <v>433</v>
      </c>
      <c r="G68" s="354"/>
      <c r="H68" s="555"/>
      <c r="I68" s="542"/>
      <c r="J68" s="545"/>
    </row>
    <row r="69" spans="2:10" ht="12.75" thickBot="1">
      <c r="B69" s="557"/>
      <c r="C69" s="557"/>
      <c r="D69" s="559"/>
      <c r="E69" s="561"/>
      <c r="F69" s="304" t="s">
        <v>434</v>
      </c>
      <c r="G69" s="355"/>
      <c r="H69" s="555"/>
      <c r="I69" s="542"/>
      <c r="J69" s="545"/>
    </row>
    <row r="70" spans="2:10">
      <c r="B70" s="550" t="s">
        <v>157</v>
      </c>
      <c r="C70" s="549">
        <v>1268</v>
      </c>
      <c r="D70" s="548">
        <v>45436</v>
      </c>
      <c r="E70" s="547">
        <v>2552</v>
      </c>
      <c r="F70" s="148" t="s">
        <v>389</v>
      </c>
      <c r="G70" s="353"/>
      <c r="H70" s="567">
        <f>SUM(G70:G74)</f>
        <v>0</v>
      </c>
      <c r="I70" s="549">
        <f>E70-H70</f>
        <v>2552</v>
      </c>
      <c r="J70" s="584">
        <f>H70/E70</f>
        <v>0</v>
      </c>
    </row>
    <row r="71" spans="2:10">
      <c r="B71" s="550"/>
      <c r="C71" s="549"/>
      <c r="D71" s="548"/>
      <c r="E71" s="547"/>
      <c r="F71" s="149" t="s">
        <v>390</v>
      </c>
      <c r="G71" s="354"/>
      <c r="H71" s="567"/>
      <c r="I71" s="549"/>
      <c r="J71" s="584"/>
    </row>
    <row r="72" spans="2:10">
      <c r="B72" s="550"/>
      <c r="C72" s="549"/>
      <c r="D72" s="548"/>
      <c r="E72" s="547"/>
      <c r="F72" s="149" t="s">
        <v>391</v>
      </c>
      <c r="G72" s="354"/>
      <c r="H72" s="567"/>
      <c r="I72" s="549"/>
      <c r="J72" s="584"/>
    </row>
    <row r="73" spans="2:10">
      <c r="B73" s="550"/>
      <c r="C73" s="549"/>
      <c r="D73" s="548"/>
      <c r="E73" s="547"/>
      <c r="F73" s="149" t="s">
        <v>392</v>
      </c>
      <c r="G73" s="354"/>
      <c r="H73" s="567"/>
      <c r="I73" s="549"/>
      <c r="J73" s="584"/>
    </row>
    <row r="74" spans="2:10" ht="12.75" thickBot="1">
      <c r="B74" s="556"/>
      <c r="C74" s="541"/>
      <c r="D74" s="585"/>
      <c r="E74" s="560"/>
      <c r="F74" s="304" t="s">
        <v>393</v>
      </c>
      <c r="G74" s="355"/>
      <c r="H74" s="554"/>
      <c r="I74" s="541"/>
      <c r="J74" s="544"/>
    </row>
    <row r="75" spans="2:10">
      <c r="B75" s="550" t="s">
        <v>157</v>
      </c>
      <c r="C75" s="549">
        <v>1142</v>
      </c>
      <c r="D75" s="548">
        <v>45415</v>
      </c>
      <c r="E75" s="547">
        <v>1266</v>
      </c>
      <c r="F75" s="387" t="s">
        <v>389</v>
      </c>
      <c r="G75" s="148"/>
      <c r="H75" s="551">
        <f>SUM(G75:G79)</f>
        <v>0</v>
      </c>
      <c r="I75" s="541">
        <f>E75-H75</f>
        <v>1266</v>
      </c>
      <c r="J75" s="544">
        <f>H75/E75</f>
        <v>0</v>
      </c>
    </row>
    <row r="76" spans="2:10">
      <c r="B76" s="550"/>
      <c r="C76" s="549"/>
      <c r="D76" s="548"/>
      <c r="E76" s="547"/>
      <c r="F76" s="388" t="s">
        <v>390</v>
      </c>
      <c r="G76" s="149"/>
      <c r="H76" s="552"/>
      <c r="I76" s="542"/>
      <c r="J76" s="545"/>
    </row>
    <row r="77" spans="2:10">
      <c r="B77" s="550"/>
      <c r="C77" s="549"/>
      <c r="D77" s="548"/>
      <c r="E77" s="547"/>
      <c r="F77" s="388" t="s">
        <v>391</v>
      </c>
      <c r="G77" s="149"/>
      <c r="H77" s="552"/>
      <c r="I77" s="542"/>
      <c r="J77" s="545"/>
    </row>
    <row r="78" spans="2:10">
      <c r="B78" s="550"/>
      <c r="C78" s="549"/>
      <c r="D78" s="548"/>
      <c r="E78" s="547"/>
      <c r="F78" s="388" t="s">
        <v>392</v>
      </c>
      <c r="G78" s="149"/>
      <c r="H78" s="552"/>
      <c r="I78" s="542"/>
      <c r="J78" s="545"/>
    </row>
    <row r="79" spans="2:10" ht="12.75" thickBot="1">
      <c r="B79" s="550"/>
      <c r="C79" s="549"/>
      <c r="D79" s="548"/>
      <c r="E79" s="547"/>
      <c r="F79" s="389" t="s">
        <v>393</v>
      </c>
      <c r="G79" s="150"/>
      <c r="H79" s="553"/>
      <c r="I79" s="543"/>
      <c r="J79" s="546"/>
    </row>
  </sheetData>
  <autoFilter ref="B7:J7"/>
  <mergeCells count="96">
    <mergeCell ref="C70:C74"/>
    <mergeCell ref="B70:B74"/>
    <mergeCell ref="J70:J74"/>
    <mergeCell ref="I70:I74"/>
    <mergeCell ref="H70:H74"/>
    <mergeCell ref="E70:E74"/>
    <mergeCell ref="D70:D74"/>
    <mergeCell ref="I14:I16"/>
    <mergeCell ref="J14:J16"/>
    <mergeCell ref="B14:B16"/>
    <mergeCell ref="C14:C16"/>
    <mergeCell ref="D14:D16"/>
    <mergeCell ref="E14:E16"/>
    <mergeCell ref="H14:H16"/>
    <mergeCell ref="B2:J2"/>
    <mergeCell ref="B3:J3"/>
    <mergeCell ref="B4:J4"/>
    <mergeCell ref="B8:B13"/>
    <mergeCell ref="C8:C13"/>
    <mergeCell ref="D8:D13"/>
    <mergeCell ref="E8:E13"/>
    <mergeCell ref="H8:H13"/>
    <mergeCell ref="I8:I13"/>
    <mergeCell ref="J8:J13"/>
    <mergeCell ref="I17:I19"/>
    <mergeCell ref="J17:J19"/>
    <mergeCell ref="B20:B24"/>
    <mergeCell ref="C20:C24"/>
    <mergeCell ref="D20:D24"/>
    <mergeCell ref="E20:E24"/>
    <mergeCell ref="H20:H24"/>
    <mergeCell ref="I20:I24"/>
    <mergeCell ref="J20:J24"/>
    <mergeCell ref="B17:B19"/>
    <mergeCell ref="C17:C19"/>
    <mergeCell ref="D17:D19"/>
    <mergeCell ref="E17:E19"/>
    <mergeCell ref="H17:H19"/>
    <mergeCell ref="H25:H29"/>
    <mergeCell ref="I25:I29"/>
    <mergeCell ref="J25:J29"/>
    <mergeCell ref="B25:B29"/>
    <mergeCell ref="C25:C29"/>
    <mergeCell ref="D25:D29"/>
    <mergeCell ref="E25:E29"/>
    <mergeCell ref="B33:B37"/>
    <mergeCell ref="B38:B43"/>
    <mergeCell ref="I30:I32"/>
    <mergeCell ref="J30:J32"/>
    <mergeCell ref="B30:B32"/>
    <mergeCell ref="C30:C32"/>
    <mergeCell ref="D30:D32"/>
    <mergeCell ref="E30:E32"/>
    <mergeCell ref="H30:H32"/>
    <mergeCell ref="E33:E43"/>
    <mergeCell ref="H33:H43"/>
    <mergeCell ref="I33:I43"/>
    <mergeCell ref="J33:J43"/>
    <mergeCell ref="C33:C43"/>
    <mergeCell ref="D33:D43"/>
    <mergeCell ref="E55:E65"/>
    <mergeCell ref="I44:I49"/>
    <mergeCell ref="J44:J49"/>
    <mergeCell ref="B50:B54"/>
    <mergeCell ref="C50:C54"/>
    <mergeCell ref="D50:D54"/>
    <mergeCell ref="E50:E54"/>
    <mergeCell ref="H50:H54"/>
    <mergeCell ref="I50:I54"/>
    <mergeCell ref="J50:J54"/>
    <mergeCell ref="B44:B49"/>
    <mergeCell ref="C44:C49"/>
    <mergeCell ref="D44:D49"/>
    <mergeCell ref="E44:E49"/>
    <mergeCell ref="H44:H49"/>
    <mergeCell ref="B75:B79"/>
    <mergeCell ref="H75:H79"/>
    <mergeCell ref="H55:H65"/>
    <mergeCell ref="I55:I65"/>
    <mergeCell ref="J55:J65"/>
    <mergeCell ref="B66:B69"/>
    <mergeCell ref="C66:C69"/>
    <mergeCell ref="D66:D69"/>
    <mergeCell ref="E66:E69"/>
    <mergeCell ref="H66:H69"/>
    <mergeCell ref="I66:I69"/>
    <mergeCell ref="J66:J69"/>
    <mergeCell ref="B55:B59"/>
    <mergeCell ref="B60:B65"/>
    <mergeCell ref="C55:C65"/>
    <mergeCell ref="D55:D65"/>
    <mergeCell ref="I75:I79"/>
    <mergeCell ref="J75:J79"/>
    <mergeCell ref="E75:E79"/>
    <mergeCell ref="D75:D79"/>
    <mergeCell ref="C75:C7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00"/>
  <sheetViews>
    <sheetView showGridLines="0" topLeftCell="A160" zoomScale="130" zoomScaleNormal="130" workbookViewId="0">
      <selection activeCell="K154" sqref="K154"/>
    </sheetView>
  </sheetViews>
  <sheetFormatPr baseColWidth="10" defaultColWidth="11.42578125" defaultRowHeight="12"/>
  <cols>
    <col min="1" max="1" width="26.140625" style="357" customWidth="1"/>
    <col min="2" max="2" width="17" style="357" bestFit="1" customWidth="1"/>
    <col min="3" max="3" width="8.42578125" style="357" bestFit="1" customWidth="1"/>
    <col min="4" max="4" width="21.42578125" style="357" bestFit="1" customWidth="1"/>
    <col min="5" max="5" width="15.28515625" style="357" bestFit="1" customWidth="1"/>
    <col min="6" max="6" width="17" style="357" bestFit="1" customWidth="1"/>
    <col min="7" max="7" width="15.140625" style="357" bestFit="1" customWidth="1"/>
    <col min="8" max="8" width="16.5703125" style="357" bestFit="1" customWidth="1"/>
    <col min="9" max="14" width="11.42578125" style="357" customWidth="1"/>
    <col min="15" max="16384" width="11.42578125" style="357"/>
  </cols>
  <sheetData>
    <row r="1" spans="2:17" ht="21" customHeight="1"/>
    <row r="2" spans="2:17" ht="16.149999999999999" customHeight="1">
      <c r="B2" s="598" t="s">
        <v>190</v>
      </c>
      <c r="C2" s="599"/>
      <c r="D2" s="599"/>
      <c r="E2" s="599"/>
      <c r="F2" s="599"/>
      <c r="G2" s="599"/>
      <c r="H2" s="600"/>
    </row>
    <row r="3" spans="2:17" ht="12" customHeight="1">
      <c r="B3" s="601">
        <f>RESUMEN!B3</f>
        <v>45481</v>
      </c>
      <c r="C3" s="602"/>
      <c r="D3" s="602"/>
      <c r="E3" s="602"/>
      <c r="F3" s="602"/>
      <c r="G3" s="602"/>
      <c r="H3" s="603"/>
    </row>
    <row r="4" spans="2:17" ht="25.5" customHeight="1">
      <c r="B4" s="447"/>
      <c r="C4" s="448"/>
      <c r="D4" s="448"/>
      <c r="E4" s="448"/>
      <c r="F4" s="448"/>
      <c r="G4" s="448"/>
      <c r="H4" s="448"/>
      <c r="N4" s="119" t="s">
        <v>135</v>
      </c>
      <c r="O4" s="119" t="s">
        <v>80</v>
      </c>
      <c r="P4" s="119" t="s">
        <v>81</v>
      </c>
      <c r="Q4" s="119" t="s">
        <v>64</v>
      </c>
    </row>
    <row r="5" spans="2:17">
      <c r="B5" s="119" t="s">
        <v>130</v>
      </c>
      <c r="C5" s="119" t="s">
        <v>57</v>
      </c>
      <c r="D5" s="119" t="s">
        <v>134</v>
      </c>
      <c r="E5" s="119" t="s">
        <v>135</v>
      </c>
      <c r="F5" s="119" t="s">
        <v>80</v>
      </c>
      <c r="G5" s="119" t="s">
        <v>81</v>
      </c>
      <c r="H5" s="119" t="s">
        <v>64</v>
      </c>
      <c r="N5" s="358">
        <f>SUM(E6:E476)</f>
        <v>51179.235999999997</v>
      </c>
      <c r="O5" s="358">
        <f>SUM(F6:F292)</f>
        <v>32424.822000000015</v>
      </c>
      <c r="P5" s="358">
        <f>N5-O5</f>
        <v>18754.413999999982</v>
      </c>
      <c r="Q5" s="202">
        <f>O5/N5</f>
        <v>0.63355424062993082</v>
      </c>
    </row>
    <row r="6" spans="2:17">
      <c r="B6" s="541">
        <v>212</v>
      </c>
      <c r="C6" s="358">
        <v>952452</v>
      </c>
      <c r="D6" s="414" t="s">
        <v>210</v>
      </c>
      <c r="E6" s="414">
        <v>66</v>
      </c>
      <c r="F6" s="414">
        <v>107.15300000000001</v>
      </c>
      <c r="G6" s="414">
        <f>E6-F6</f>
        <v>-41.153000000000006</v>
      </c>
      <c r="H6" s="415">
        <f>F6/E6</f>
        <v>1.6235303030303032</v>
      </c>
      <c r="I6" s="357">
        <f>SUM(F6:F15)</f>
        <v>644.05000000000007</v>
      </c>
    </row>
    <row r="7" spans="2:17">
      <c r="B7" s="542"/>
      <c r="C7" s="358">
        <v>950818</v>
      </c>
      <c r="D7" s="367" t="s">
        <v>209</v>
      </c>
      <c r="E7" s="358">
        <v>66</v>
      </c>
      <c r="F7" s="358"/>
      <c r="G7" s="358">
        <f t="shared" ref="G7:G15" si="0">E7-F7</f>
        <v>66</v>
      </c>
      <c r="H7" s="202">
        <f t="shared" ref="H7:H15" si="1">F7/E7</f>
        <v>0</v>
      </c>
    </row>
    <row r="8" spans="2:17">
      <c r="B8" s="542"/>
      <c r="C8" s="358">
        <v>961126</v>
      </c>
      <c r="D8" s="414" t="s">
        <v>205</v>
      </c>
      <c r="E8" s="414">
        <v>66</v>
      </c>
      <c r="F8" s="414">
        <v>70.27</v>
      </c>
      <c r="G8" s="414">
        <f t="shared" si="0"/>
        <v>-4.269999999999996</v>
      </c>
      <c r="H8" s="415">
        <f t="shared" si="1"/>
        <v>1.0646969696969697</v>
      </c>
    </row>
    <row r="9" spans="2:17">
      <c r="B9" s="542"/>
      <c r="C9" s="358">
        <v>968864</v>
      </c>
      <c r="D9" s="414" t="s">
        <v>211</v>
      </c>
      <c r="E9" s="414">
        <v>66</v>
      </c>
      <c r="F9" s="414">
        <v>67.543999999999997</v>
      </c>
      <c r="G9" s="414">
        <f t="shared" si="0"/>
        <v>-1.5439999999999969</v>
      </c>
      <c r="H9" s="415">
        <f t="shared" si="1"/>
        <v>1.0233939393939393</v>
      </c>
    </row>
    <row r="10" spans="2:17">
      <c r="B10" s="542"/>
      <c r="C10" s="358">
        <v>951974</v>
      </c>
      <c r="D10" s="367" t="s">
        <v>207</v>
      </c>
      <c r="E10" s="358">
        <v>66</v>
      </c>
      <c r="F10" s="358">
        <v>51.838999999999999</v>
      </c>
      <c r="G10" s="358">
        <f t="shared" si="0"/>
        <v>14.161000000000001</v>
      </c>
      <c r="H10" s="202">
        <f t="shared" si="1"/>
        <v>0.78543939393939388</v>
      </c>
    </row>
    <row r="11" spans="2:17">
      <c r="B11" s="542"/>
      <c r="C11" s="358">
        <v>698168</v>
      </c>
      <c r="D11" s="367" t="s">
        <v>212</v>
      </c>
      <c r="E11" s="358">
        <v>66</v>
      </c>
      <c r="F11" s="358">
        <v>62.197000000000003</v>
      </c>
      <c r="G11" s="358">
        <f t="shared" si="0"/>
        <v>3.8029999999999973</v>
      </c>
      <c r="H11" s="202">
        <f t="shared" si="1"/>
        <v>0.94237878787878793</v>
      </c>
    </row>
    <row r="12" spans="2:17">
      <c r="B12" s="542"/>
      <c r="C12" s="358">
        <v>958573</v>
      </c>
      <c r="D12" s="414" t="s">
        <v>208</v>
      </c>
      <c r="E12" s="414">
        <v>66</v>
      </c>
      <c r="F12" s="414">
        <v>76.739000000000004</v>
      </c>
      <c r="G12" s="414">
        <f t="shared" si="0"/>
        <v>-10.739000000000004</v>
      </c>
      <c r="H12" s="415">
        <f t="shared" si="1"/>
        <v>1.1627121212121212</v>
      </c>
    </row>
    <row r="13" spans="2:17">
      <c r="B13" s="542"/>
      <c r="C13" s="358">
        <v>699838</v>
      </c>
      <c r="D13" s="414" t="s">
        <v>206</v>
      </c>
      <c r="E13" s="414">
        <v>66</v>
      </c>
      <c r="F13" s="414">
        <v>70.185000000000002</v>
      </c>
      <c r="G13" s="414">
        <f t="shared" si="0"/>
        <v>-4.1850000000000023</v>
      </c>
      <c r="H13" s="415">
        <f t="shared" si="1"/>
        <v>1.063409090909091</v>
      </c>
    </row>
    <row r="14" spans="2:17">
      <c r="B14" s="542"/>
      <c r="C14" s="358">
        <v>967393</v>
      </c>
      <c r="D14" s="414" t="s">
        <v>214</v>
      </c>
      <c r="E14" s="414">
        <v>66</v>
      </c>
      <c r="F14" s="414">
        <v>74.63</v>
      </c>
      <c r="G14" s="414">
        <f t="shared" si="0"/>
        <v>-8.6299999999999955</v>
      </c>
      <c r="H14" s="415">
        <f t="shared" si="1"/>
        <v>1.1307575757575756</v>
      </c>
    </row>
    <row r="15" spans="2:17">
      <c r="B15" s="543"/>
      <c r="C15" s="358">
        <v>959986</v>
      </c>
      <c r="D15" s="367" t="s">
        <v>213</v>
      </c>
      <c r="E15" s="358">
        <v>66</v>
      </c>
      <c r="F15" s="358">
        <v>63.493000000000002</v>
      </c>
      <c r="G15" s="358">
        <f t="shared" si="0"/>
        <v>2.5069999999999979</v>
      </c>
      <c r="H15" s="202">
        <f t="shared" si="1"/>
        <v>0.9620151515151516</v>
      </c>
    </row>
    <row r="16" spans="2:17">
      <c r="B16" s="541">
        <v>219</v>
      </c>
      <c r="C16" s="358">
        <v>963710</v>
      </c>
      <c r="D16" s="367" t="s">
        <v>230</v>
      </c>
      <c r="E16" s="541">
        <v>5000</v>
      </c>
      <c r="F16" s="358">
        <v>369.06099999999998</v>
      </c>
      <c r="G16" s="541">
        <f>E16-I16</f>
        <v>15.715000000001055</v>
      </c>
      <c r="H16" s="586">
        <f>I16/E16</f>
        <v>0.99685699999999977</v>
      </c>
      <c r="I16" s="413">
        <f>SUM(F16:F47)</f>
        <v>4984.2849999999989</v>
      </c>
    </row>
    <row r="17" spans="2:8">
      <c r="B17" s="542"/>
      <c r="C17" s="358">
        <v>698955</v>
      </c>
      <c r="D17" s="367" t="s">
        <v>231</v>
      </c>
      <c r="E17" s="542"/>
      <c r="F17" s="358">
        <v>105.312</v>
      </c>
      <c r="G17" s="542"/>
      <c r="H17" s="587"/>
    </row>
    <row r="18" spans="2:8">
      <c r="B18" s="542"/>
      <c r="C18" s="358">
        <v>697270</v>
      </c>
      <c r="D18" s="367" t="s">
        <v>219</v>
      </c>
      <c r="E18" s="542"/>
      <c r="F18" s="358">
        <v>32.286000000000001</v>
      </c>
      <c r="G18" s="542"/>
      <c r="H18" s="587"/>
    </row>
    <row r="19" spans="2:8">
      <c r="B19" s="542"/>
      <c r="C19" s="358">
        <v>968468</v>
      </c>
      <c r="D19" s="367" t="s">
        <v>218</v>
      </c>
      <c r="E19" s="542"/>
      <c r="F19" s="358">
        <v>91.507999999999996</v>
      </c>
      <c r="G19" s="542"/>
      <c r="H19" s="587"/>
    </row>
    <row r="20" spans="2:8">
      <c r="B20" s="542"/>
      <c r="C20" s="358">
        <v>963744</v>
      </c>
      <c r="D20" s="367" t="s">
        <v>215</v>
      </c>
      <c r="E20" s="542"/>
      <c r="F20" s="358"/>
      <c r="G20" s="542"/>
      <c r="H20" s="587"/>
    </row>
    <row r="21" spans="2:8">
      <c r="B21" s="542"/>
      <c r="C21" s="358">
        <v>700496</v>
      </c>
      <c r="D21" s="367" t="s">
        <v>217</v>
      </c>
      <c r="E21" s="542"/>
      <c r="F21" s="358">
        <v>216.886</v>
      </c>
      <c r="G21" s="542"/>
      <c r="H21" s="587"/>
    </row>
    <row r="22" spans="2:8">
      <c r="B22" s="542"/>
      <c r="C22" s="358">
        <v>967700</v>
      </c>
      <c r="D22" s="367" t="s">
        <v>241</v>
      </c>
      <c r="E22" s="542"/>
      <c r="F22" s="358">
        <v>309.23500000000001</v>
      </c>
      <c r="G22" s="542"/>
      <c r="H22" s="587"/>
    </row>
    <row r="23" spans="2:8">
      <c r="B23" s="542"/>
      <c r="C23" s="358">
        <v>969691</v>
      </c>
      <c r="D23" s="367" t="s">
        <v>239</v>
      </c>
      <c r="E23" s="542"/>
      <c r="F23" s="358">
        <v>162.52799999999999</v>
      </c>
      <c r="G23" s="542"/>
      <c r="H23" s="587"/>
    </row>
    <row r="24" spans="2:8">
      <c r="B24" s="542"/>
      <c r="C24" s="358">
        <v>967677</v>
      </c>
      <c r="D24" s="367" t="s">
        <v>232</v>
      </c>
      <c r="E24" s="542"/>
      <c r="F24" s="358"/>
      <c r="G24" s="542"/>
      <c r="H24" s="587"/>
    </row>
    <row r="25" spans="2:8">
      <c r="B25" s="542"/>
      <c r="C25" s="358">
        <v>701484</v>
      </c>
      <c r="D25" s="367" t="s">
        <v>227</v>
      </c>
      <c r="E25" s="542"/>
      <c r="F25" s="358">
        <v>170.06800000000001</v>
      </c>
      <c r="G25" s="542"/>
      <c r="H25" s="587"/>
    </row>
    <row r="26" spans="2:8">
      <c r="B26" s="542"/>
      <c r="C26" s="358">
        <v>701030</v>
      </c>
      <c r="D26" s="367" t="s">
        <v>222</v>
      </c>
      <c r="E26" s="542"/>
      <c r="F26" s="358">
        <v>99.876999999999995</v>
      </c>
      <c r="G26" s="542"/>
      <c r="H26" s="587"/>
    </row>
    <row r="27" spans="2:8">
      <c r="B27" s="542"/>
      <c r="C27" s="358">
        <v>953967</v>
      </c>
      <c r="D27" s="367" t="s">
        <v>233</v>
      </c>
      <c r="E27" s="542"/>
      <c r="F27" s="358">
        <v>225.709</v>
      </c>
      <c r="G27" s="542"/>
      <c r="H27" s="587"/>
    </row>
    <row r="28" spans="2:8">
      <c r="B28" s="542"/>
      <c r="C28" s="358">
        <v>699495</v>
      </c>
      <c r="D28" s="367" t="s">
        <v>236</v>
      </c>
      <c r="E28" s="542"/>
      <c r="F28" s="358">
        <v>64.712000000000003</v>
      </c>
      <c r="G28" s="542"/>
      <c r="H28" s="587"/>
    </row>
    <row r="29" spans="2:8">
      <c r="B29" s="542"/>
      <c r="C29" s="358">
        <v>955847</v>
      </c>
      <c r="D29" s="367" t="s">
        <v>246</v>
      </c>
      <c r="E29" s="542"/>
      <c r="F29" s="358">
        <v>185.56100000000001</v>
      </c>
      <c r="G29" s="542"/>
      <c r="H29" s="587"/>
    </row>
    <row r="30" spans="2:8">
      <c r="B30" s="542"/>
      <c r="C30" s="358">
        <v>955947</v>
      </c>
      <c r="D30" s="367" t="s">
        <v>242</v>
      </c>
      <c r="E30" s="542"/>
      <c r="F30" s="358">
        <v>157.13999999999999</v>
      </c>
      <c r="G30" s="542"/>
      <c r="H30" s="587"/>
    </row>
    <row r="31" spans="2:8">
      <c r="B31" s="542"/>
      <c r="C31" s="358">
        <v>701277</v>
      </c>
      <c r="D31" s="367" t="s">
        <v>243</v>
      </c>
      <c r="E31" s="542"/>
      <c r="F31" s="358">
        <v>82.308000000000007</v>
      </c>
      <c r="G31" s="542"/>
      <c r="H31" s="587"/>
    </row>
    <row r="32" spans="2:8">
      <c r="B32" s="542"/>
      <c r="C32" s="358">
        <v>968467</v>
      </c>
      <c r="D32" s="367" t="s">
        <v>235</v>
      </c>
      <c r="E32" s="542"/>
      <c r="F32" s="358">
        <v>186.68199999999999</v>
      </c>
      <c r="G32" s="542"/>
      <c r="H32" s="587"/>
    </row>
    <row r="33" spans="2:9">
      <c r="B33" s="542"/>
      <c r="C33" s="358">
        <v>951110</v>
      </c>
      <c r="D33" s="367" t="s">
        <v>225</v>
      </c>
      <c r="E33" s="542"/>
      <c r="F33" s="358">
        <v>228.48</v>
      </c>
      <c r="G33" s="542"/>
      <c r="H33" s="587"/>
    </row>
    <row r="34" spans="2:9">
      <c r="B34" s="542"/>
      <c r="C34" s="358">
        <v>701659</v>
      </c>
      <c r="D34" s="367" t="s">
        <v>228</v>
      </c>
      <c r="E34" s="542"/>
      <c r="F34" s="358">
        <v>314.12900000000002</v>
      </c>
      <c r="G34" s="542"/>
      <c r="H34" s="587"/>
    </row>
    <row r="35" spans="2:9">
      <c r="B35" s="542"/>
      <c r="C35" s="358">
        <v>960352</v>
      </c>
      <c r="D35" s="367" t="s">
        <v>224</v>
      </c>
      <c r="E35" s="542"/>
      <c r="F35" s="358">
        <v>181.066</v>
      </c>
      <c r="G35" s="542"/>
      <c r="H35" s="587"/>
    </row>
    <row r="36" spans="2:9">
      <c r="B36" s="542"/>
      <c r="C36" s="358">
        <v>969269</v>
      </c>
      <c r="D36" s="367" t="s">
        <v>229</v>
      </c>
      <c r="E36" s="542"/>
      <c r="F36" s="358">
        <v>208.15199999999999</v>
      </c>
      <c r="G36" s="542"/>
      <c r="H36" s="587"/>
    </row>
    <row r="37" spans="2:9">
      <c r="B37" s="542"/>
      <c r="C37" s="358">
        <v>700289</v>
      </c>
      <c r="D37" s="367" t="s">
        <v>220</v>
      </c>
      <c r="E37" s="542"/>
      <c r="F37" s="358">
        <v>71.906999999999996</v>
      </c>
      <c r="G37" s="542"/>
      <c r="H37" s="587"/>
    </row>
    <row r="38" spans="2:9">
      <c r="B38" s="542"/>
      <c r="C38" s="358">
        <v>697575</v>
      </c>
      <c r="D38" s="367" t="s">
        <v>234</v>
      </c>
      <c r="E38" s="542"/>
      <c r="F38" s="358"/>
      <c r="G38" s="542"/>
      <c r="H38" s="587"/>
    </row>
    <row r="39" spans="2:9">
      <c r="B39" s="542"/>
      <c r="C39" s="358">
        <v>921881</v>
      </c>
      <c r="D39" s="367" t="s">
        <v>245</v>
      </c>
      <c r="E39" s="542"/>
      <c r="F39" s="358">
        <v>180.55699999999999</v>
      </c>
      <c r="G39" s="542"/>
      <c r="H39" s="587"/>
    </row>
    <row r="40" spans="2:9">
      <c r="B40" s="542"/>
      <c r="C40" s="358">
        <v>701560</v>
      </c>
      <c r="D40" s="367" t="s">
        <v>216</v>
      </c>
      <c r="E40" s="542"/>
      <c r="F40" s="358">
        <v>295.31900000000002</v>
      </c>
      <c r="G40" s="542"/>
      <c r="H40" s="587"/>
    </row>
    <row r="41" spans="2:9">
      <c r="B41" s="542"/>
      <c r="C41" s="358">
        <v>969394</v>
      </c>
      <c r="D41" s="367" t="s">
        <v>221</v>
      </c>
      <c r="E41" s="542"/>
      <c r="F41" s="358">
        <v>198.77699999999999</v>
      </c>
      <c r="G41" s="542"/>
      <c r="H41" s="587"/>
    </row>
    <row r="42" spans="2:9">
      <c r="B42" s="542"/>
      <c r="C42" s="358">
        <v>699300</v>
      </c>
      <c r="D42" s="367" t="s">
        <v>237</v>
      </c>
      <c r="E42" s="542"/>
      <c r="F42" s="358"/>
      <c r="G42" s="542"/>
      <c r="H42" s="587"/>
    </row>
    <row r="43" spans="2:9">
      <c r="B43" s="542"/>
      <c r="C43" s="358">
        <v>951184</v>
      </c>
      <c r="D43" s="367" t="s">
        <v>240</v>
      </c>
      <c r="E43" s="542"/>
      <c r="F43" s="358">
        <v>199.19399999999999</v>
      </c>
      <c r="G43" s="542"/>
      <c r="H43" s="587"/>
    </row>
    <row r="44" spans="2:9">
      <c r="B44" s="542"/>
      <c r="C44" s="358">
        <v>968796</v>
      </c>
      <c r="D44" s="367" t="s">
        <v>226</v>
      </c>
      <c r="E44" s="542"/>
      <c r="F44" s="358">
        <v>229.059</v>
      </c>
      <c r="G44" s="542"/>
      <c r="H44" s="587"/>
    </row>
    <row r="45" spans="2:9">
      <c r="B45" s="542"/>
      <c r="C45" s="358">
        <v>699245</v>
      </c>
      <c r="D45" s="367" t="s">
        <v>223</v>
      </c>
      <c r="E45" s="542"/>
      <c r="F45" s="358">
        <v>211.44499999999999</v>
      </c>
      <c r="G45" s="542"/>
      <c r="H45" s="587"/>
    </row>
    <row r="46" spans="2:9">
      <c r="B46" s="542"/>
      <c r="C46" s="358">
        <v>965905</v>
      </c>
      <c r="D46" s="367" t="s">
        <v>238</v>
      </c>
      <c r="E46" s="542"/>
      <c r="F46" s="358">
        <v>113.753</v>
      </c>
      <c r="G46" s="542"/>
      <c r="H46" s="587"/>
    </row>
    <row r="47" spans="2:9">
      <c r="B47" s="543"/>
      <c r="C47" s="358">
        <v>699343</v>
      </c>
      <c r="D47" s="367" t="s">
        <v>244</v>
      </c>
      <c r="E47" s="543"/>
      <c r="F47" s="358">
        <v>93.573999999999998</v>
      </c>
      <c r="G47" s="543"/>
      <c r="H47" s="588"/>
    </row>
    <row r="48" spans="2:9">
      <c r="B48" s="595">
        <v>426</v>
      </c>
      <c r="C48" s="414">
        <v>967577</v>
      </c>
      <c r="D48" s="414" t="s">
        <v>258</v>
      </c>
      <c r="E48" s="604">
        <v>3755.5309999999999</v>
      </c>
      <c r="F48" s="414">
        <v>67.438000000000002</v>
      </c>
      <c r="G48" s="604">
        <f>E48-I48</f>
        <v>2.000999999999749</v>
      </c>
      <c r="H48" s="605">
        <f>I48/E48</f>
        <v>0.99946718586532779</v>
      </c>
      <c r="I48" s="413">
        <f>SUM(F48:F76)</f>
        <v>3753.53</v>
      </c>
    </row>
    <row r="49" spans="2:13">
      <c r="B49" s="596"/>
      <c r="C49" s="414">
        <v>968817</v>
      </c>
      <c r="D49" s="414" t="s">
        <v>259</v>
      </c>
      <c r="E49" s="604"/>
      <c r="F49" s="414">
        <v>88.813999999999993</v>
      </c>
      <c r="G49" s="604"/>
      <c r="H49" s="606"/>
    </row>
    <row r="50" spans="2:13">
      <c r="B50" s="596"/>
      <c r="C50" s="414">
        <v>697885</v>
      </c>
      <c r="D50" s="414" t="s">
        <v>260</v>
      </c>
      <c r="E50" s="604"/>
      <c r="F50" s="414">
        <v>117.538</v>
      </c>
      <c r="G50" s="604"/>
      <c r="H50" s="606"/>
    </row>
    <row r="51" spans="2:13">
      <c r="B51" s="596"/>
      <c r="C51" s="414">
        <v>701488</v>
      </c>
      <c r="D51" s="414" t="s">
        <v>269</v>
      </c>
      <c r="E51" s="604"/>
      <c r="F51" s="414">
        <v>129.297</v>
      </c>
      <c r="G51" s="604"/>
      <c r="H51" s="606"/>
    </row>
    <row r="52" spans="2:13">
      <c r="B52" s="596"/>
      <c r="C52" s="414">
        <v>698895</v>
      </c>
      <c r="D52" s="414" t="s">
        <v>267</v>
      </c>
      <c r="E52" s="604"/>
      <c r="F52" s="414">
        <v>106.66200000000001</v>
      </c>
      <c r="G52" s="604"/>
      <c r="H52" s="606"/>
      <c r="M52" s="417"/>
    </row>
    <row r="53" spans="2:13">
      <c r="B53" s="596"/>
      <c r="C53" s="414">
        <v>698125</v>
      </c>
      <c r="D53" s="414" t="s">
        <v>268</v>
      </c>
      <c r="E53" s="604"/>
      <c r="F53" s="414">
        <v>134.80500000000001</v>
      </c>
      <c r="G53" s="604"/>
      <c r="H53" s="606"/>
      <c r="M53" s="417"/>
    </row>
    <row r="54" spans="2:13">
      <c r="B54" s="596"/>
      <c r="C54" s="414">
        <v>968833</v>
      </c>
      <c r="D54" s="414" t="s">
        <v>262</v>
      </c>
      <c r="E54" s="604"/>
      <c r="F54" s="414">
        <v>100.119</v>
      </c>
      <c r="G54" s="604"/>
      <c r="H54" s="606"/>
      <c r="M54" s="417"/>
    </row>
    <row r="55" spans="2:13">
      <c r="B55" s="596"/>
      <c r="C55" s="414">
        <v>701723</v>
      </c>
      <c r="D55" s="414" t="s">
        <v>257</v>
      </c>
      <c r="E55" s="604"/>
      <c r="F55" s="414">
        <v>163.875</v>
      </c>
      <c r="G55" s="604"/>
      <c r="H55" s="606"/>
      <c r="M55" s="417"/>
    </row>
    <row r="56" spans="2:13">
      <c r="B56" s="596"/>
      <c r="C56" s="414">
        <v>701702</v>
      </c>
      <c r="D56" s="414" t="s">
        <v>263</v>
      </c>
      <c r="E56" s="604"/>
      <c r="F56" s="414">
        <v>145.64699999999999</v>
      </c>
      <c r="G56" s="604"/>
      <c r="H56" s="606"/>
      <c r="M56" s="417"/>
    </row>
    <row r="57" spans="2:13">
      <c r="B57" s="596"/>
      <c r="C57" s="414">
        <v>968524</v>
      </c>
      <c r="D57" s="414" t="s">
        <v>271</v>
      </c>
      <c r="E57" s="604"/>
      <c r="F57" s="414">
        <v>158.83699999999999</v>
      </c>
      <c r="G57" s="604"/>
      <c r="H57" s="606"/>
      <c r="M57" s="417"/>
    </row>
    <row r="58" spans="2:13">
      <c r="B58" s="596"/>
      <c r="C58" s="414">
        <v>701681</v>
      </c>
      <c r="D58" s="414" t="s">
        <v>275</v>
      </c>
      <c r="E58" s="604"/>
      <c r="F58" s="414">
        <v>157.87700000000001</v>
      </c>
      <c r="G58" s="604"/>
      <c r="H58" s="606"/>
      <c r="M58" s="417"/>
    </row>
    <row r="59" spans="2:13">
      <c r="B59" s="596"/>
      <c r="C59" s="414">
        <v>698086</v>
      </c>
      <c r="D59" s="414" t="s">
        <v>272</v>
      </c>
      <c r="E59" s="604"/>
      <c r="F59" s="414">
        <v>159.447</v>
      </c>
      <c r="G59" s="604"/>
      <c r="H59" s="606"/>
      <c r="M59" s="417"/>
    </row>
    <row r="60" spans="2:13">
      <c r="B60" s="596"/>
      <c r="C60" s="414">
        <v>698484</v>
      </c>
      <c r="D60" s="414" t="s">
        <v>264</v>
      </c>
      <c r="E60" s="604"/>
      <c r="F60" s="414">
        <v>9.4979999999999993</v>
      </c>
      <c r="G60" s="604"/>
      <c r="H60" s="606"/>
      <c r="M60" s="417"/>
    </row>
    <row r="61" spans="2:13">
      <c r="B61" s="596"/>
      <c r="C61" s="414">
        <v>968797</v>
      </c>
      <c r="D61" s="414" t="s">
        <v>274</v>
      </c>
      <c r="E61" s="604"/>
      <c r="F61" s="414">
        <v>221.77600000000001</v>
      </c>
      <c r="G61" s="604"/>
      <c r="H61" s="606"/>
      <c r="M61" s="417"/>
    </row>
    <row r="62" spans="2:13">
      <c r="B62" s="596"/>
      <c r="C62" s="414">
        <v>969701</v>
      </c>
      <c r="D62" s="414" t="s">
        <v>279</v>
      </c>
      <c r="E62" s="604"/>
      <c r="F62" s="414">
        <v>186.33699999999999</v>
      </c>
      <c r="G62" s="604"/>
      <c r="H62" s="606"/>
      <c r="M62" s="417"/>
    </row>
    <row r="63" spans="2:13">
      <c r="B63" s="596"/>
      <c r="C63" s="414">
        <v>968981</v>
      </c>
      <c r="D63" s="414" t="s">
        <v>277</v>
      </c>
      <c r="E63" s="604"/>
      <c r="F63" s="414">
        <v>179.07300000000001</v>
      </c>
      <c r="G63" s="604"/>
      <c r="H63" s="606"/>
      <c r="M63" s="417"/>
    </row>
    <row r="64" spans="2:13">
      <c r="B64" s="596"/>
      <c r="C64" s="414">
        <v>701930</v>
      </c>
      <c r="D64" s="414" t="s">
        <v>278</v>
      </c>
      <c r="E64" s="604"/>
      <c r="F64" s="414"/>
      <c r="G64" s="604"/>
      <c r="H64" s="606"/>
      <c r="M64" s="417"/>
    </row>
    <row r="65" spans="2:13">
      <c r="B65" s="596"/>
      <c r="C65" s="414">
        <v>968804</v>
      </c>
      <c r="D65" s="414" t="s">
        <v>270</v>
      </c>
      <c r="E65" s="604"/>
      <c r="F65" s="414">
        <v>92.129000000000005</v>
      </c>
      <c r="G65" s="604"/>
      <c r="H65" s="606"/>
      <c r="M65" s="417"/>
    </row>
    <row r="66" spans="2:13">
      <c r="B66" s="596"/>
      <c r="C66" s="414">
        <v>697864</v>
      </c>
      <c r="D66" s="414" t="s">
        <v>261</v>
      </c>
      <c r="E66" s="604"/>
      <c r="F66" s="414">
        <v>138.94900000000001</v>
      </c>
      <c r="G66" s="604"/>
      <c r="H66" s="606"/>
      <c r="M66" s="417"/>
    </row>
    <row r="67" spans="2:13">
      <c r="B67" s="596"/>
      <c r="C67" s="414">
        <v>701672</v>
      </c>
      <c r="D67" s="414" t="s">
        <v>273</v>
      </c>
      <c r="E67" s="604"/>
      <c r="F67" s="414">
        <v>136.71100000000001</v>
      </c>
      <c r="G67" s="604"/>
      <c r="H67" s="606"/>
      <c r="M67" s="417"/>
    </row>
    <row r="68" spans="2:13">
      <c r="B68" s="596"/>
      <c r="C68" s="414">
        <v>701636</v>
      </c>
      <c r="D68" s="414" t="s">
        <v>276</v>
      </c>
      <c r="E68" s="604"/>
      <c r="F68" s="414">
        <v>154.67400000000001</v>
      </c>
      <c r="G68" s="604"/>
      <c r="H68" s="606"/>
      <c r="M68" s="417"/>
    </row>
    <row r="69" spans="2:13">
      <c r="B69" s="596"/>
      <c r="C69" s="414">
        <v>698573</v>
      </c>
      <c r="D69" s="414" t="s">
        <v>265</v>
      </c>
      <c r="E69" s="604"/>
      <c r="F69" s="414">
        <v>50.972999999999999</v>
      </c>
      <c r="G69" s="604"/>
      <c r="H69" s="606"/>
      <c r="M69" s="417"/>
    </row>
    <row r="70" spans="2:13">
      <c r="B70" s="596"/>
      <c r="C70" s="414">
        <v>701661</v>
      </c>
      <c r="D70" s="414" t="s">
        <v>281</v>
      </c>
      <c r="E70" s="604"/>
      <c r="F70" s="414"/>
      <c r="G70" s="604"/>
      <c r="H70" s="606"/>
      <c r="M70" s="417"/>
    </row>
    <row r="71" spans="2:13">
      <c r="B71" s="596"/>
      <c r="C71" s="414">
        <v>961377</v>
      </c>
      <c r="D71" s="414" t="s">
        <v>282</v>
      </c>
      <c r="E71" s="604"/>
      <c r="F71" s="414">
        <v>191.565</v>
      </c>
      <c r="G71" s="604"/>
      <c r="H71" s="606"/>
      <c r="M71" s="417"/>
    </row>
    <row r="72" spans="2:13">
      <c r="B72" s="596"/>
      <c r="C72" s="414">
        <v>697900</v>
      </c>
      <c r="D72" s="414" t="s">
        <v>283</v>
      </c>
      <c r="E72" s="604"/>
      <c r="F72" s="414">
        <v>176.13300000000001</v>
      </c>
      <c r="G72" s="604"/>
      <c r="H72" s="606"/>
      <c r="M72" s="417"/>
    </row>
    <row r="73" spans="2:13">
      <c r="B73" s="596"/>
      <c r="C73" s="414">
        <v>967342</v>
      </c>
      <c r="D73" s="414" t="s">
        <v>280</v>
      </c>
      <c r="E73" s="604"/>
      <c r="F73" s="414">
        <v>189.185</v>
      </c>
      <c r="G73" s="604"/>
      <c r="H73" s="606"/>
      <c r="M73" s="417"/>
    </row>
    <row r="74" spans="2:13">
      <c r="B74" s="596"/>
      <c r="C74" s="414">
        <v>926065</v>
      </c>
      <c r="D74" s="414" t="s">
        <v>266</v>
      </c>
      <c r="E74" s="604"/>
      <c r="F74" s="414">
        <v>170.47300000000001</v>
      </c>
      <c r="G74" s="604"/>
      <c r="H74" s="606"/>
      <c r="M74" s="417"/>
    </row>
    <row r="75" spans="2:13">
      <c r="B75" s="596"/>
      <c r="C75" s="414">
        <v>701699</v>
      </c>
      <c r="D75" s="414" t="s">
        <v>244</v>
      </c>
      <c r="E75" s="604"/>
      <c r="F75" s="414">
        <v>192.79400000000001</v>
      </c>
      <c r="G75" s="604"/>
      <c r="H75" s="606"/>
      <c r="M75" s="417"/>
    </row>
    <row r="76" spans="2:13">
      <c r="B76" s="597"/>
      <c r="C76" s="414">
        <v>969106</v>
      </c>
      <c r="D76" s="414" t="s">
        <v>284</v>
      </c>
      <c r="E76" s="604"/>
      <c r="F76" s="414">
        <v>132.904</v>
      </c>
      <c r="G76" s="604"/>
      <c r="H76" s="607"/>
      <c r="M76" s="417"/>
    </row>
    <row r="77" spans="2:13">
      <c r="B77" s="595">
        <v>458</v>
      </c>
      <c r="C77" s="414">
        <v>697578</v>
      </c>
      <c r="D77" s="414" t="s">
        <v>291</v>
      </c>
      <c r="E77" s="595">
        <v>6487</v>
      </c>
      <c r="F77" s="414">
        <v>62.447000000000003</v>
      </c>
      <c r="G77" s="595">
        <f>E77-(I77)</f>
        <v>-0.59099999999853026</v>
      </c>
      <c r="H77" s="608">
        <f>I77/E77</f>
        <v>1.0000911052874979</v>
      </c>
      <c r="I77" s="413">
        <f>SUM(F77:F109)</f>
        <v>6487.5909999999985</v>
      </c>
      <c r="M77" s="417"/>
    </row>
    <row r="78" spans="2:13">
      <c r="B78" s="596"/>
      <c r="C78" s="414">
        <v>964673</v>
      </c>
      <c r="D78" s="414" t="s">
        <v>303</v>
      </c>
      <c r="E78" s="596"/>
      <c r="F78" s="414">
        <v>7.2569999999999997</v>
      </c>
      <c r="G78" s="596"/>
      <c r="H78" s="609"/>
    </row>
    <row r="79" spans="2:13">
      <c r="B79" s="596"/>
      <c r="C79" s="414">
        <v>968930</v>
      </c>
      <c r="D79" s="414" t="s">
        <v>296</v>
      </c>
      <c r="E79" s="596"/>
      <c r="F79" s="414">
        <v>48.994</v>
      </c>
      <c r="G79" s="596"/>
      <c r="H79" s="609"/>
    </row>
    <row r="80" spans="2:13">
      <c r="B80" s="596"/>
      <c r="C80" s="414">
        <v>901588</v>
      </c>
      <c r="D80" s="414" t="s">
        <v>289</v>
      </c>
      <c r="E80" s="596"/>
      <c r="F80" s="414">
        <v>412.476</v>
      </c>
      <c r="G80" s="596"/>
      <c r="H80" s="609"/>
    </row>
    <row r="81" spans="2:11">
      <c r="B81" s="596"/>
      <c r="C81" s="414">
        <v>702022</v>
      </c>
      <c r="D81" s="414" t="s">
        <v>334</v>
      </c>
      <c r="E81" s="596"/>
      <c r="F81" s="414">
        <v>150.79300000000001</v>
      </c>
      <c r="G81" s="596"/>
      <c r="H81" s="609"/>
    </row>
    <row r="82" spans="2:11">
      <c r="B82" s="596"/>
      <c r="C82" s="414">
        <v>698764</v>
      </c>
      <c r="D82" s="414" t="s">
        <v>285</v>
      </c>
      <c r="E82" s="596"/>
      <c r="F82" s="414">
        <v>37.405000000000001</v>
      </c>
      <c r="G82" s="596"/>
      <c r="H82" s="609"/>
    </row>
    <row r="83" spans="2:11">
      <c r="B83" s="596"/>
      <c r="C83" s="414">
        <v>700697</v>
      </c>
      <c r="D83" s="414" t="s">
        <v>310</v>
      </c>
      <c r="E83" s="596"/>
      <c r="F83" s="414">
        <v>209.73400000000001</v>
      </c>
      <c r="G83" s="596"/>
      <c r="H83" s="609"/>
    </row>
    <row r="84" spans="2:11">
      <c r="B84" s="596"/>
      <c r="C84" s="414">
        <v>956427</v>
      </c>
      <c r="D84" s="414" t="s">
        <v>295</v>
      </c>
      <c r="E84" s="596"/>
      <c r="F84" s="414">
        <v>365.14100000000002</v>
      </c>
      <c r="G84" s="596"/>
      <c r="H84" s="609"/>
    </row>
    <row r="85" spans="2:11">
      <c r="B85" s="596"/>
      <c r="C85" s="414">
        <v>968871</v>
      </c>
      <c r="D85" s="414" t="s">
        <v>297</v>
      </c>
      <c r="E85" s="596"/>
      <c r="F85" s="414">
        <v>105.58</v>
      </c>
      <c r="G85" s="596"/>
      <c r="H85" s="609"/>
    </row>
    <row r="86" spans="2:11">
      <c r="B86" s="596"/>
      <c r="C86" s="414">
        <v>964933</v>
      </c>
      <c r="D86" s="414" t="s">
        <v>286</v>
      </c>
      <c r="E86" s="596"/>
      <c r="F86" s="414">
        <v>157.18899999999999</v>
      </c>
      <c r="G86" s="596"/>
      <c r="H86" s="609"/>
    </row>
    <row r="87" spans="2:11">
      <c r="B87" s="596"/>
      <c r="C87" s="414">
        <v>953023</v>
      </c>
      <c r="D87" s="414" t="s">
        <v>311</v>
      </c>
      <c r="E87" s="596"/>
      <c r="F87" s="414">
        <v>188.042</v>
      </c>
      <c r="G87" s="596"/>
      <c r="H87" s="609"/>
    </row>
    <row r="88" spans="2:11">
      <c r="B88" s="596"/>
      <c r="C88" s="414">
        <v>969467</v>
      </c>
      <c r="D88" s="414" t="s">
        <v>290</v>
      </c>
      <c r="E88" s="596"/>
      <c r="F88" s="414">
        <v>65.316000000000003</v>
      </c>
      <c r="G88" s="596"/>
      <c r="H88" s="609"/>
    </row>
    <row r="89" spans="2:11">
      <c r="B89" s="596"/>
      <c r="C89" s="414">
        <v>969425</v>
      </c>
      <c r="D89" s="414" t="s">
        <v>288</v>
      </c>
      <c r="E89" s="596"/>
      <c r="F89" s="414">
        <v>156.131</v>
      </c>
      <c r="G89" s="596"/>
      <c r="H89" s="609"/>
    </row>
    <row r="90" spans="2:11">
      <c r="B90" s="596"/>
      <c r="C90" s="414">
        <v>699979</v>
      </c>
      <c r="D90" s="414" t="s">
        <v>302</v>
      </c>
      <c r="E90" s="596"/>
      <c r="F90" s="414">
        <v>284.84100000000001</v>
      </c>
      <c r="G90" s="596"/>
      <c r="H90" s="609"/>
    </row>
    <row r="91" spans="2:11">
      <c r="B91" s="596"/>
      <c r="C91" s="414">
        <v>923266</v>
      </c>
      <c r="D91" s="414" t="s">
        <v>304</v>
      </c>
      <c r="E91" s="596"/>
      <c r="F91" s="414">
        <v>534.84100000000001</v>
      </c>
      <c r="G91" s="596"/>
      <c r="H91" s="609"/>
    </row>
    <row r="92" spans="2:11">
      <c r="B92" s="596"/>
      <c r="C92" s="414">
        <v>957989</v>
      </c>
      <c r="D92" s="414" t="s">
        <v>306</v>
      </c>
      <c r="E92" s="596"/>
      <c r="F92" s="414">
        <v>412.63499999999999</v>
      </c>
      <c r="G92" s="596"/>
      <c r="H92" s="609"/>
    </row>
    <row r="93" spans="2:11">
      <c r="B93" s="596"/>
      <c r="C93" s="414">
        <v>960563</v>
      </c>
      <c r="D93" s="414" t="s">
        <v>293</v>
      </c>
      <c r="E93" s="596"/>
      <c r="F93" s="414">
        <v>467.267</v>
      </c>
      <c r="G93" s="596"/>
      <c r="H93" s="609"/>
    </row>
    <row r="94" spans="2:11">
      <c r="B94" s="596"/>
      <c r="C94" s="414">
        <v>698592</v>
      </c>
      <c r="D94" s="414" t="s">
        <v>307</v>
      </c>
      <c r="E94" s="596"/>
      <c r="F94" s="414">
        <v>627.41800000000001</v>
      </c>
      <c r="G94" s="596"/>
      <c r="H94" s="609"/>
      <c r="K94" s="357" t="s">
        <v>473</v>
      </c>
    </row>
    <row r="95" spans="2:11">
      <c r="B95" s="596"/>
      <c r="C95" s="414">
        <v>966707</v>
      </c>
      <c r="D95" s="414" t="s">
        <v>305</v>
      </c>
      <c r="E95" s="596"/>
      <c r="F95" s="414">
        <v>721.23900000000003</v>
      </c>
      <c r="G95" s="596"/>
      <c r="H95" s="609"/>
    </row>
    <row r="96" spans="2:11">
      <c r="B96" s="596"/>
      <c r="C96" s="414">
        <v>969501</v>
      </c>
      <c r="D96" s="414" t="s">
        <v>287</v>
      </c>
      <c r="E96" s="596"/>
      <c r="F96" s="414">
        <v>22.847000000000001</v>
      </c>
      <c r="G96" s="596"/>
      <c r="H96" s="609"/>
    </row>
    <row r="97" spans="2:12">
      <c r="B97" s="596"/>
      <c r="C97" s="414">
        <v>701618</v>
      </c>
      <c r="D97" s="414" t="s">
        <v>333</v>
      </c>
      <c r="E97" s="596"/>
      <c r="F97" s="414">
        <v>7.1580000000000004</v>
      </c>
      <c r="G97" s="596"/>
      <c r="H97" s="609"/>
    </row>
    <row r="98" spans="2:12">
      <c r="B98" s="596"/>
      <c r="C98" s="414">
        <v>923167</v>
      </c>
      <c r="D98" s="414" t="s">
        <v>312</v>
      </c>
      <c r="E98" s="596"/>
      <c r="F98" s="414">
        <v>52.85</v>
      </c>
      <c r="G98" s="596"/>
      <c r="H98" s="609"/>
    </row>
    <row r="99" spans="2:12">
      <c r="B99" s="596"/>
      <c r="C99" s="414">
        <v>700784</v>
      </c>
      <c r="D99" s="414" t="s">
        <v>301</v>
      </c>
      <c r="E99" s="596"/>
      <c r="F99" s="414">
        <v>75.519000000000005</v>
      </c>
      <c r="G99" s="596"/>
      <c r="H99" s="609"/>
    </row>
    <row r="100" spans="2:12">
      <c r="B100" s="596"/>
      <c r="C100" s="414">
        <v>968704</v>
      </c>
      <c r="D100" s="414" t="s">
        <v>300</v>
      </c>
      <c r="E100" s="596"/>
      <c r="F100" s="414">
        <v>145.97999999999999</v>
      </c>
      <c r="G100" s="596"/>
      <c r="H100" s="609"/>
    </row>
    <row r="101" spans="2:12">
      <c r="B101" s="596"/>
      <c r="C101" s="414">
        <v>700518</v>
      </c>
      <c r="D101" s="414" t="s">
        <v>299</v>
      </c>
      <c r="E101" s="596"/>
      <c r="F101" s="414">
        <v>38.83</v>
      </c>
      <c r="G101" s="596"/>
      <c r="H101" s="609"/>
    </row>
    <row r="102" spans="2:12">
      <c r="B102" s="596"/>
      <c r="C102" s="414">
        <v>950875</v>
      </c>
      <c r="D102" s="414" t="s">
        <v>294</v>
      </c>
      <c r="E102" s="596"/>
      <c r="F102" s="414">
        <v>212.77199999999999</v>
      </c>
      <c r="G102" s="596"/>
      <c r="H102" s="609"/>
    </row>
    <row r="103" spans="2:12">
      <c r="B103" s="596"/>
      <c r="C103" s="414">
        <v>700338</v>
      </c>
      <c r="D103" s="414" t="s">
        <v>308</v>
      </c>
      <c r="E103" s="596"/>
      <c r="F103" s="414">
        <v>77.570999999999998</v>
      </c>
      <c r="G103" s="596"/>
      <c r="H103" s="609"/>
    </row>
    <row r="104" spans="2:12">
      <c r="B104" s="596"/>
      <c r="C104" s="414">
        <v>700755</v>
      </c>
      <c r="D104" s="414" t="s">
        <v>298</v>
      </c>
      <c r="E104" s="596"/>
      <c r="F104" s="414">
        <v>55.908999999999999</v>
      </c>
      <c r="G104" s="596"/>
      <c r="H104" s="609"/>
    </row>
    <row r="105" spans="2:12">
      <c r="B105" s="596"/>
      <c r="C105" s="414">
        <v>966397</v>
      </c>
      <c r="D105" s="414" t="s">
        <v>350</v>
      </c>
      <c r="E105" s="596"/>
      <c r="F105" s="414">
        <v>267.86900000000003</v>
      </c>
      <c r="G105" s="596"/>
      <c r="H105" s="609"/>
    </row>
    <row r="106" spans="2:12">
      <c r="B106" s="596"/>
      <c r="C106" s="414">
        <v>965267</v>
      </c>
      <c r="D106" s="414" t="s">
        <v>292</v>
      </c>
      <c r="E106" s="596"/>
      <c r="F106" s="414">
        <v>136.03100000000001</v>
      </c>
      <c r="G106" s="596"/>
      <c r="H106" s="609"/>
    </row>
    <row r="107" spans="2:12">
      <c r="B107" s="596"/>
      <c r="C107" s="414">
        <v>701336</v>
      </c>
      <c r="D107" s="414" t="s">
        <v>309</v>
      </c>
      <c r="E107" s="596"/>
      <c r="F107" s="414">
        <v>107.867</v>
      </c>
      <c r="G107" s="596"/>
      <c r="H107" s="609"/>
    </row>
    <row r="108" spans="2:12">
      <c r="B108" s="596"/>
      <c r="C108" s="414">
        <v>700979</v>
      </c>
      <c r="D108" s="414" t="s">
        <v>314</v>
      </c>
      <c r="E108" s="596"/>
      <c r="F108" s="414">
        <v>106.364</v>
      </c>
      <c r="G108" s="596"/>
      <c r="H108" s="609"/>
    </row>
    <row r="109" spans="2:12">
      <c r="B109" s="597"/>
      <c r="C109" s="414">
        <v>701450</v>
      </c>
      <c r="D109" s="414" t="s">
        <v>313</v>
      </c>
      <c r="E109" s="597"/>
      <c r="F109" s="414">
        <v>165.27799999999999</v>
      </c>
      <c r="G109" s="597"/>
      <c r="H109" s="610"/>
    </row>
    <row r="110" spans="2:12">
      <c r="B110" s="541">
        <v>609</v>
      </c>
      <c r="C110" s="358">
        <v>701740</v>
      </c>
      <c r="D110" s="367" t="s">
        <v>318</v>
      </c>
      <c r="E110" s="541">
        <v>200</v>
      </c>
      <c r="F110" s="358">
        <v>87.027000000000001</v>
      </c>
      <c r="G110" s="541">
        <f>E110-I110</f>
        <v>35.960000000000008</v>
      </c>
      <c r="H110" s="586">
        <f>I110/E110</f>
        <v>0.82019999999999993</v>
      </c>
      <c r="I110" s="413">
        <f>SUM(F110:F113)</f>
        <v>164.04</v>
      </c>
      <c r="L110" s="365"/>
    </row>
    <row r="111" spans="2:12">
      <c r="B111" s="542"/>
      <c r="C111" s="366">
        <v>702453</v>
      </c>
      <c r="D111" s="367" t="s">
        <v>435</v>
      </c>
      <c r="E111" s="542"/>
      <c r="F111" s="358">
        <v>10.048999999999999</v>
      </c>
      <c r="G111" s="542"/>
      <c r="H111" s="587"/>
    </row>
    <row r="112" spans="2:12" s="365" customFormat="1">
      <c r="B112" s="542"/>
      <c r="C112" s="366">
        <v>699260</v>
      </c>
      <c r="D112" s="369" t="s">
        <v>317</v>
      </c>
      <c r="E112" s="542"/>
      <c r="F112" s="366">
        <v>66.963999999999999</v>
      </c>
      <c r="G112" s="542"/>
      <c r="H112" s="587"/>
      <c r="L112" s="357"/>
    </row>
    <row r="113" spans="2:9">
      <c r="B113" s="543"/>
      <c r="C113" s="366">
        <v>969710</v>
      </c>
      <c r="D113" s="367" t="s">
        <v>319</v>
      </c>
      <c r="E113" s="543"/>
      <c r="F113" s="358">
        <v>0</v>
      </c>
      <c r="G113" s="543"/>
      <c r="H113" s="588"/>
    </row>
    <row r="114" spans="2:9">
      <c r="B114" s="541" t="s">
        <v>475</v>
      </c>
      <c r="C114" s="366">
        <v>700685</v>
      </c>
      <c r="D114" s="367" t="s">
        <v>320</v>
      </c>
      <c r="E114" s="541">
        <v>505.15300000000002</v>
      </c>
      <c r="F114" s="358">
        <v>436</v>
      </c>
      <c r="G114" s="541">
        <f>E114-(F114+F115)</f>
        <v>10.805000000000007</v>
      </c>
      <c r="H114" s="586">
        <f>(F114+F115)/E114</f>
        <v>0.97861044079714465</v>
      </c>
    </row>
    <row r="115" spans="2:9">
      <c r="B115" s="543"/>
      <c r="C115" s="366">
        <v>701262</v>
      </c>
      <c r="D115" s="367" t="s">
        <v>332</v>
      </c>
      <c r="E115" s="543"/>
      <c r="F115" s="358">
        <v>58.347999999999999</v>
      </c>
      <c r="G115" s="543"/>
      <c r="H115" s="588"/>
    </row>
    <row r="116" spans="2:9">
      <c r="B116" s="541">
        <v>560</v>
      </c>
      <c r="C116" s="358">
        <v>926064</v>
      </c>
      <c r="D116" s="367" t="s">
        <v>323</v>
      </c>
      <c r="E116" s="549">
        <v>3159.5520000000001</v>
      </c>
      <c r="F116" s="358">
        <v>106.104</v>
      </c>
      <c r="G116" s="541">
        <f>E116-I116</f>
        <v>51.329000000000178</v>
      </c>
      <c r="H116" s="586">
        <f>I116/E116</f>
        <v>0.98375434238778148</v>
      </c>
      <c r="I116" s="413">
        <f>SUM(F116:F143)</f>
        <v>3108.223</v>
      </c>
    </row>
    <row r="117" spans="2:9">
      <c r="B117" s="542"/>
      <c r="C117" s="358">
        <v>967577</v>
      </c>
      <c r="D117" s="367" t="s">
        <v>324</v>
      </c>
      <c r="E117" s="549"/>
      <c r="F117" s="358">
        <v>12.265000000000001</v>
      </c>
      <c r="G117" s="542"/>
      <c r="H117" s="587"/>
    </row>
    <row r="118" spans="2:9">
      <c r="B118" s="542"/>
      <c r="C118" s="358">
        <v>697885</v>
      </c>
      <c r="D118" s="367" t="s">
        <v>260</v>
      </c>
      <c r="E118" s="549"/>
      <c r="F118" s="358">
        <v>125.05200000000001</v>
      </c>
      <c r="G118" s="542"/>
      <c r="H118" s="587"/>
    </row>
    <row r="119" spans="2:9">
      <c r="B119" s="542"/>
      <c r="C119" s="358">
        <v>968817</v>
      </c>
      <c r="D119" s="367" t="s">
        <v>322</v>
      </c>
      <c r="E119" s="549"/>
      <c r="F119" s="358">
        <v>139.63300000000001</v>
      </c>
      <c r="G119" s="542"/>
      <c r="H119" s="587"/>
    </row>
    <row r="120" spans="2:9">
      <c r="B120" s="542"/>
      <c r="C120" s="358">
        <v>701488</v>
      </c>
      <c r="D120" s="367" t="s">
        <v>269</v>
      </c>
      <c r="E120" s="549"/>
      <c r="F120" s="358">
        <v>72.727999999999994</v>
      </c>
      <c r="G120" s="542"/>
      <c r="H120" s="587"/>
    </row>
    <row r="121" spans="2:9">
      <c r="B121" s="542"/>
      <c r="C121" s="358">
        <v>698895</v>
      </c>
      <c r="D121" s="367" t="s">
        <v>267</v>
      </c>
      <c r="E121" s="549"/>
      <c r="F121" s="358">
        <v>50.95</v>
      </c>
      <c r="G121" s="542"/>
      <c r="H121" s="587"/>
    </row>
    <row r="122" spans="2:9">
      <c r="B122" s="542"/>
      <c r="C122" s="358">
        <v>698125</v>
      </c>
      <c r="D122" s="367" t="s">
        <v>268</v>
      </c>
      <c r="E122" s="549"/>
      <c r="F122" s="358"/>
      <c r="G122" s="542"/>
      <c r="H122" s="587"/>
    </row>
    <row r="123" spans="2:9">
      <c r="B123" s="542"/>
      <c r="C123" s="358">
        <v>968833</v>
      </c>
      <c r="D123" s="367" t="s">
        <v>262</v>
      </c>
      <c r="E123" s="549"/>
      <c r="F123" s="358">
        <v>170.11600000000001</v>
      </c>
      <c r="G123" s="542"/>
      <c r="H123" s="587"/>
    </row>
    <row r="124" spans="2:9">
      <c r="B124" s="542"/>
      <c r="C124" s="358">
        <v>701723</v>
      </c>
      <c r="D124" s="367" t="s">
        <v>257</v>
      </c>
      <c r="E124" s="549"/>
      <c r="F124" s="358">
        <v>92.83</v>
      </c>
      <c r="G124" s="542"/>
      <c r="H124" s="587"/>
    </row>
    <row r="125" spans="2:9">
      <c r="B125" s="542"/>
      <c r="C125" s="358">
        <v>701702</v>
      </c>
      <c r="D125" s="367" t="s">
        <v>263</v>
      </c>
      <c r="E125" s="549"/>
      <c r="F125" s="358">
        <v>192.37299999999999</v>
      </c>
      <c r="G125" s="542"/>
      <c r="H125" s="587"/>
    </row>
    <row r="126" spans="2:9">
      <c r="B126" s="542"/>
      <c r="C126" s="358">
        <v>968524</v>
      </c>
      <c r="D126" s="367" t="s">
        <v>271</v>
      </c>
      <c r="E126" s="549"/>
      <c r="F126" s="358">
        <v>156.714</v>
      </c>
      <c r="G126" s="542"/>
      <c r="H126" s="587"/>
    </row>
    <row r="127" spans="2:9">
      <c r="B127" s="542"/>
      <c r="C127" s="358">
        <v>701681</v>
      </c>
      <c r="D127" s="367" t="s">
        <v>275</v>
      </c>
      <c r="E127" s="549"/>
      <c r="F127" s="358">
        <v>115.705</v>
      </c>
      <c r="G127" s="542"/>
      <c r="H127" s="587"/>
    </row>
    <row r="128" spans="2:9">
      <c r="B128" s="542"/>
      <c r="C128" s="358">
        <v>698086</v>
      </c>
      <c r="D128" s="367" t="s">
        <v>272</v>
      </c>
      <c r="E128" s="549"/>
      <c r="F128" s="358">
        <v>199.61600000000001</v>
      </c>
      <c r="G128" s="542"/>
      <c r="H128" s="587"/>
    </row>
    <row r="129" spans="2:8">
      <c r="B129" s="542"/>
      <c r="C129" s="358">
        <v>968797</v>
      </c>
      <c r="D129" s="367" t="s">
        <v>274</v>
      </c>
      <c r="E129" s="549"/>
      <c r="F129" s="358">
        <v>229.459</v>
      </c>
      <c r="G129" s="542"/>
      <c r="H129" s="587"/>
    </row>
    <row r="130" spans="2:8">
      <c r="B130" s="542"/>
      <c r="C130" s="358">
        <v>969701</v>
      </c>
      <c r="D130" s="367" t="s">
        <v>279</v>
      </c>
      <c r="E130" s="549"/>
      <c r="F130" s="358">
        <v>31.265000000000001</v>
      </c>
      <c r="G130" s="542"/>
      <c r="H130" s="587"/>
    </row>
    <row r="131" spans="2:8">
      <c r="B131" s="542"/>
      <c r="C131" s="358">
        <v>968981</v>
      </c>
      <c r="D131" s="367" t="s">
        <v>277</v>
      </c>
      <c r="E131" s="549"/>
      <c r="F131" s="358">
        <v>140.43</v>
      </c>
      <c r="G131" s="542"/>
      <c r="H131" s="587"/>
    </row>
    <row r="132" spans="2:8">
      <c r="B132" s="542"/>
      <c r="C132" s="358">
        <v>701930</v>
      </c>
      <c r="D132" s="367" t="s">
        <v>278</v>
      </c>
      <c r="E132" s="549"/>
      <c r="F132" s="358">
        <v>109.608</v>
      </c>
      <c r="G132" s="542"/>
      <c r="H132" s="587"/>
    </row>
    <row r="133" spans="2:8">
      <c r="B133" s="542"/>
      <c r="C133" s="358">
        <v>968804</v>
      </c>
      <c r="D133" s="367" t="s">
        <v>270</v>
      </c>
      <c r="E133" s="549"/>
      <c r="F133" s="358"/>
      <c r="G133" s="542"/>
      <c r="H133" s="587"/>
    </row>
    <row r="134" spans="2:8">
      <c r="B134" s="542"/>
      <c r="C134" s="358">
        <v>697864</v>
      </c>
      <c r="D134" s="367" t="s">
        <v>261</v>
      </c>
      <c r="E134" s="549"/>
      <c r="F134" s="358">
        <v>156.95500000000001</v>
      </c>
      <c r="G134" s="542"/>
      <c r="H134" s="587"/>
    </row>
    <row r="135" spans="2:8">
      <c r="B135" s="542"/>
      <c r="C135" s="358">
        <v>701672</v>
      </c>
      <c r="D135" s="367" t="s">
        <v>273</v>
      </c>
      <c r="E135" s="549"/>
      <c r="F135" s="358">
        <v>116.035</v>
      </c>
      <c r="G135" s="542"/>
      <c r="H135" s="587"/>
    </row>
    <row r="136" spans="2:8">
      <c r="B136" s="542"/>
      <c r="C136" s="358">
        <v>701636</v>
      </c>
      <c r="D136" s="367" t="s">
        <v>276</v>
      </c>
      <c r="E136" s="549"/>
      <c r="F136" s="358">
        <v>130.21</v>
      </c>
      <c r="G136" s="542"/>
      <c r="H136" s="587"/>
    </row>
    <row r="137" spans="2:8">
      <c r="B137" s="542"/>
      <c r="C137" s="358">
        <v>698573</v>
      </c>
      <c r="D137" s="367" t="s">
        <v>265</v>
      </c>
      <c r="E137" s="549"/>
      <c r="F137" s="358"/>
      <c r="G137" s="542"/>
      <c r="H137" s="587"/>
    </row>
    <row r="138" spans="2:8">
      <c r="B138" s="542"/>
      <c r="C138" s="358">
        <v>701661</v>
      </c>
      <c r="D138" s="367" t="s">
        <v>281</v>
      </c>
      <c r="E138" s="549"/>
      <c r="F138" s="358">
        <v>217.37700000000001</v>
      </c>
      <c r="G138" s="542"/>
      <c r="H138" s="587"/>
    </row>
    <row r="139" spans="2:8">
      <c r="B139" s="542"/>
      <c r="C139" s="358">
        <v>961377</v>
      </c>
      <c r="D139" s="367" t="s">
        <v>282</v>
      </c>
      <c r="E139" s="549"/>
      <c r="F139" s="358">
        <v>115.616</v>
      </c>
      <c r="G139" s="542"/>
      <c r="H139" s="587"/>
    </row>
    <row r="140" spans="2:8">
      <c r="B140" s="542"/>
      <c r="C140" s="358">
        <v>967342</v>
      </c>
      <c r="D140" s="367" t="s">
        <v>280</v>
      </c>
      <c r="E140" s="549"/>
      <c r="F140" s="358">
        <v>116.32899999999999</v>
      </c>
      <c r="G140" s="542"/>
      <c r="H140" s="587"/>
    </row>
    <row r="141" spans="2:8">
      <c r="B141" s="542"/>
      <c r="C141" s="358">
        <v>926065</v>
      </c>
      <c r="D141" s="367" t="s">
        <v>266</v>
      </c>
      <c r="E141" s="549"/>
      <c r="F141" s="358">
        <v>135.33000000000001</v>
      </c>
      <c r="G141" s="542"/>
      <c r="H141" s="587"/>
    </row>
    <row r="142" spans="2:8">
      <c r="B142" s="542"/>
      <c r="C142" s="358">
        <v>701699</v>
      </c>
      <c r="D142" s="367" t="s">
        <v>244</v>
      </c>
      <c r="E142" s="549"/>
      <c r="F142" s="358"/>
      <c r="G142" s="542"/>
      <c r="H142" s="587"/>
    </row>
    <row r="143" spans="2:8">
      <c r="B143" s="543"/>
      <c r="C143" s="358">
        <v>969106</v>
      </c>
      <c r="D143" s="367" t="s">
        <v>284</v>
      </c>
      <c r="E143" s="549"/>
      <c r="F143" s="358">
        <v>175.523</v>
      </c>
      <c r="G143" s="543"/>
      <c r="H143" s="588"/>
    </row>
    <row r="144" spans="2:8">
      <c r="B144" s="358">
        <v>559</v>
      </c>
      <c r="C144" s="358">
        <v>953967</v>
      </c>
      <c r="D144" s="367" t="s">
        <v>233</v>
      </c>
      <c r="E144" s="358">
        <v>650.62300000000005</v>
      </c>
      <c r="F144" s="358"/>
      <c r="G144" s="358">
        <f>E144-F144</f>
        <v>650.62300000000005</v>
      </c>
      <c r="H144" s="202">
        <f>F144/E144</f>
        <v>0</v>
      </c>
    </row>
    <row r="145" spans="2:9">
      <c r="B145" s="595">
        <v>564</v>
      </c>
      <c r="C145" s="414">
        <v>701438</v>
      </c>
      <c r="D145" s="414" t="s">
        <v>328</v>
      </c>
      <c r="E145" s="604">
        <v>1505.0440000000001</v>
      </c>
      <c r="F145" s="414">
        <v>299.846</v>
      </c>
      <c r="G145" s="595">
        <f>E145-I145</f>
        <v>-308.99399999999969</v>
      </c>
      <c r="H145" s="605">
        <f>I145/E145</f>
        <v>1.2053056256162609</v>
      </c>
      <c r="I145" s="413">
        <f>SUM(F145:F149)</f>
        <v>1814.0379999999998</v>
      </c>
    </row>
    <row r="146" spans="2:9">
      <c r="B146" s="596"/>
      <c r="C146" s="414">
        <v>699329</v>
      </c>
      <c r="D146" s="414" t="s">
        <v>326</v>
      </c>
      <c r="E146" s="604"/>
      <c r="F146" s="414">
        <v>308.654</v>
      </c>
      <c r="G146" s="596"/>
      <c r="H146" s="606"/>
    </row>
    <row r="147" spans="2:9">
      <c r="B147" s="596"/>
      <c r="C147" s="414">
        <v>968274</v>
      </c>
      <c r="D147" s="414" t="s">
        <v>325</v>
      </c>
      <c r="E147" s="604"/>
      <c r="F147" s="414">
        <v>490.04399999999998</v>
      </c>
      <c r="G147" s="596"/>
      <c r="H147" s="606"/>
    </row>
    <row r="148" spans="2:9">
      <c r="B148" s="596"/>
      <c r="C148" s="414">
        <v>700798</v>
      </c>
      <c r="D148" s="414" t="s">
        <v>329</v>
      </c>
      <c r="E148" s="604"/>
      <c r="F148" s="414">
        <v>244.482</v>
      </c>
      <c r="G148" s="596"/>
      <c r="H148" s="606"/>
    </row>
    <row r="149" spans="2:9">
      <c r="B149" s="597"/>
      <c r="C149" s="414">
        <v>967544</v>
      </c>
      <c r="D149" s="414" t="s">
        <v>327</v>
      </c>
      <c r="E149" s="604"/>
      <c r="F149" s="414">
        <v>471.012</v>
      </c>
      <c r="G149" s="597"/>
      <c r="H149" s="607"/>
    </row>
    <row r="150" spans="2:9">
      <c r="B150" s="541">
        <v>902</v>
      </c>
      <c r="C150" s="358">
        <v>700685</v>
      </c>
      <c r="D150" s="358" t="s">
        <v>320</v>
      </c>
      <c r="E150" s="541">
        <v>960.36699999999996</v>
      </c>
      <c r="F150" s="358">
        <v>638.50800000000004</v>
      </c>
      <c r="G150" s="541">
        <f>E150-SUM(F150+F151)</f>
        <v>11.442999999999984</v>
      </c>
      <c r="H150" s="586">
        <f>SUM(F150+F151)/E150</f>
        <v>0.98808476342898077</v>
      </c>
      <c r="I150" s="413">
        <f>SUM(F150:F151)</f>
        <v>948.92399999999998</v>
      </c>
    </row>
    <row r="151" spans="2:9">
      <c r="B151" s="543"/>
      <c r="C151" s="358">
        <v>701262</v>
      </c>
      <c r="D151" s="358" t="s">
        <v>332</v>
      </c>
      <c r="E151" s="543"/>
      <c r="F151" s="358">
        <v>310.416</v>
      </c>
      <c r="G151" s="543"/>
      <c r="H151" s="588"/>
    </row>
    <row r="152" spans="2:9">
      <c r="B152" s="541">
        <v>903</v>
      </c>
      <c r="C152" s="358">
        <v>701438</v>
      </c>
      <c r="D152" s="358" t="s">
        <v>328</v>
      </c>
      <c r="E152" s="541">
        <v>1479.0050000000001</v>
      </c>
      <c r="F152" s="358">
        <f>218.845+31.026</f>
        <v>249.87100000000001</v>
      </c>
      <c r="G152" s="541">
        <f>E152-I152</f>
        <v>331.84900000000016</v>
      </c>
      <c r="H152" s="586">
        <f>I152/E152</f>
        <v>0.7756268572452425</v>
      </c>
      <c r="I152" s="413">
        <f>F152+F153+F154+F155+F156</f>
        <v>1147.1559999999999</v>
      </c>
    </row>
    <row r="153" spans="2:9">
      <c r="B153" s="542"/>
      <c r="C153" s="358">
        <v>699329</v>
      </c>
      <c r="D153" s="358" t="s">
        <v>326</v>
      </c>
      <c r="E153" s="542"/>
      <c r="F153" s="358">
        <v>173.87100000000001</v>
      </c>
      <c r="G153" s="542"/>
      <c r="H153" s="587"/>
    </row>
    <row r="154" spans="2:9">
      <c r="B154" s="542"/>
      <c r="C154" s="358">
        <v>968274</v>
      </c>
      <c r="D154" s="358" t="s">
        <v>325</v>
      </c>
      <c r="E154" s="542"/>
      <c r="F154" s="358">
        <f>258.556+17.582</f>
        <v>276.13799999999998</v>
      </c>
      <c r="G154" s="542"/>
      <c r="H154" s="587"/>
    </row>
    <row r="155" spans="2:9">
      <c r="B155" s="542"/>
      <c r="C155" s="358">
        <v>700798</v>
      </c>
      <c r="D155" s="358" t="s">
        <v>329</v>
      </c>
      <c r="E155" s="542"/>
      <c r="F155" s="358">
        <v>209.95099999999999</v>
      </c>
      <c r="G155" s="542"/>
      <c r="H155" s="587"/>
    </row>
    <row r="156" spans="2:9">
      <c r="B156" s="543"/>
      <c r="C156" s="358">
        <v>967544</v>
      </c>
      <c r="D156" s="358" t="s">
        <v>327</v>
      </c>
      <c r="E156" s="543"/>
      <c r="F156" s="358">
        <v>237.32499999999999</v>
      </c>
      <c r="G156" s="543"/>
      <c r="H156" s="588"/>
    </row>
    <row r="157" spans="2:9">
      <c r="B157" s="358">
        <v>967</v>
      </c>
      <c r="C157" s="358">
        <v>968588</v>
      </c>
      <c r="D157" s="358" t="s">
        <v>336</v>
      </c>
      <c r="E157" s="358">
        <v>26.039000000000001</v>
      </c>
      <c r="F157" s="358"/>
      <c r="G157" s="358">
        <f>E157-F157</f>
        <v>26.039000000000001</v>
      </c>
      <c r="H157" s="202">
        <f>F157/E157</f>
        <v>0</v>
      </c>
    </row>
    <row r="158" spans="2:9">
      <c r="B158" s="541">
        <v>1035</v>
      </c>
      <c r="C158" s="404">
        <v>701438</v>
      </c>
      <c r="D158" s="369" t="s">
        <v>328</v>
      </c>
      <c r="E158" s="541">
        <v>2456.922</v>
      </c>
      <c r="F158" s="358">
        <v>380.399</v>
      </c>
      <c r="G158" s="541">
        <f>E158-(F158+F159+F160+F161+F162)</f>
        <v>0</v>
      </c>
      <c r="H158" s="586">
        <f>I158/E158</f>
        <v>1</v>
      </c>
      <c r="I158" s="410">
        <f>F158+F159+F160+F161+F162</f>
        <v>2456.922</v>
      </c>
    </row>
    <row r="159" spans="2:9">
      <c r="B159" s="542"/>
      <c r="C159" s="358">
        <v>699329</v>
      </c>
      <c r="D159" s="404" t="s">
        <v>326</v>
      </c>
      <c r="E159" s="542"/>
      <c r="F159" s="358">
        <v>419.87599999999998</v>
      </c>
      <c r="G159" s="542"/>
      <c r="H159" s="587"/>
    </row>
    <row r="160" spans="2:9">
      <c r="B160" s="542"/>
      <c r="C160" s="367">
        <v>968274</v>
      </c>
      <c r="D160" s="367" t="s">
        <v>325</v>
      </c>
      <c r="E160" s="542"/>
      <c r="F160" s="358">
        <v>511.02699999999999</v>
      </c>
      <c r="G160" s="542"/>
      <c r="H160" s="587"/>
    </row>
    <row r="161" spans="2:9">
      <c r="B161" s="542"/>
      <c r="C161" s="404">
        <v>700798</v>
      </c>
      <c r="D161" s="369" t="s">
        <v>329</v>
      </c>
      <c r="E161" s="542"/>
      <c r="F161" s="358">
        <v>510.97300000000001</v>
      </c>
      <c r="G161" s="542"/>
      <c r="H161" s="587"/>
    </row>
    <row r="162" spans="2:9">
      <c r="B162" s="543"/>
      <c r="C162" s="358">
        <v>967544</v>
      </c>
      <c r="D162" s="404" t="s">
        <v>327</v>
      </c>
      <c r="E162" s="543"/>
      <c r="F162" s="358">
        <v>634.64700000000005</v>
      </c>
      <c r="G162" s="543"/>
      <c r="H162" s="588"/>
    </row>
    <row r="163" spans="2:9">
      <c r="B163" s="541">
        <v>1063</v>
      </c>
      <c r="C163" s="405">
        <v>697578</v>
      </c>
      <c r="D163" s="369" t="s">
        <v>291</v>
      </c>
      <c r="E163" s="541">
        <v>5000</v>
      </c>
      <c r="F163" s="358">
        <v>30.699000000000002</v>
      </c>
      <c r="G163" s="541">
        <f>E163-I163</f>
        <v>3955.152</v>
      </c>
      <c r="H163" s="586">
        <f>I163/E163</f>
        <v>0.20896960000000003</v>
      </c>
      <c r="I163" s="413">
        <f>SUM(F163:F197)</f>
        <v>1044.8480000000002</v>
      </c>
    </row>
    <row r="164" spans="2:9">
      <c r="B164" s="542"/>
      <c r="C164" s="358">
        <v>964673</v>
      </c>
      <c r="D164" s="369" t="s">
        <v>303</v>
      </c>
      <c r="E164" s="542"/>
      <c r="F164" s="358">
        <v>0.63</v>
      </c>
      <c r="G164" s="542"/>
      <c r="H164" s="587"/>
    </row>
    <row r="165" spans="2:9">
      <c r="B165" s="542"/>
      <c r="C165" s="358">
        <v>968930</v>
      </c>
      <c r="D165" s="369" t="s">
        <v>296</v>
      </c>
      <c r="E165" s="542"/>
      <c r="F165" s="358">
        <v>16.486999999999998</v>
      </c>
      <c r="G165" s="542"/>
      <c r="H165" s="587"/>
    </row>
    <row r="166" spans="2:9">
      <c r="B166" s="542"/>
      <c r="C166" s="358">
        <v>901588</v>
      </c>
      <c r="D166" s="369" t="s">
        <v>289</v>
      </c>
      <c r="E166" s="542"/>
      <c r="F166" s="358">
        <v>79.186000000000007</v>
      </c>
      <c r="G166" s="542"/>
      <c r="H166" s="587"/>
    </row>
    <row r="167" spans="2:9">
      <c r="B167" s="542"/>
      <c r="C167" s="358">
        <v>702022</v>
      </c>
      <c r="D167" s="369" t="s">
        <v>334</v>
      </c>
      <c r="E167" s="542"/>
      <c r="F167" s="358"/>
      <c r="G167" s="542"/>
      <c r="H167" s="587"/>
    </row>
    <row r="168" spans="2:9">
      <c r="B168" s="542"/>
      <c r="C168" s="410">
        <v>698764</v>
      </c>
      <c r="D168" s="410" t="s">
        <v>285</v>
      </c>
      <c r="E168" s="542"/>
      <c r="F168" s="358"/>
      <c r="G168" s="542"/>
      <c r="H168" s="587"/>
    </row>
    <row r="169" spans="2:9">
      <c r="B169" s="542"/>
      <c r="C169" s="358">
        <v>700697</v>
      </c>
      <c r="D169" s="369" t="s">
        <v>310</v>
      </c>
      <c r="E169" s="542"/>
      <c r="F169" s="358"/>
      <c r="G169" s="542"/>
      <c r="H169" s="587"/>
    </row>
    <row r="170" spans="2:9">
      <c r="B170" s="542"/>
      <c r="C170" s="358">
        <v>956427</v>
      </c>
      <c r="D170" s="369" t="s">
        <v>295</v>
      </c>
      <c r="E170" s="542"/>
      <c r="F170" s="358">
        <v>66.917000000000002</v>
      </c>
      <c r="G170" s="542"/>
      <c r="H170" s="587"/>
    </row>
    <row r="171" spans="2:9">
      <c r="B171" s="542"/>
      <c r="C171" s="358">
        <v>968871</v>
      </c>
      <c r="D171" s="369" t="s">
        <v>297</v>
      </c>
      <c r="E171" s="542"/>
      <c r="F171" s="358">
        <v>20.23</v>
      </c>
      <c r="G171" s="542"/>
      <c r="H171" s="587"/>
    </row>
    <row r="172" spans="2:9">
      <c r="B172" s="542"/>
      <c r="C172" s="358">
        <v>964933</v>
      </c>
      <c r="D172" s="369" t="s">
        <v>286</v>
      </c>
      <c r="E172" s="542"/>
      <c r="F172" s="358">
        <v>0</v>
      </c>
      <c r="G172" s="542"/>
      <c r="H172" s="587"/>
    </row>
    <row r="173" spans="2:9">
      <c r="B173" s="542"/>
      <c r="C173" s="358">
        <v>953023</v>
      </c>
      <c r="D173" s="369" t="s">
        <v>311</v>
      </c>
      <c r="E173" s="542"/>
      <c r="F173" s="358">
        <v>8.8659999999999997</v>
      </c>
      <c r="G173" s="542"/>
      <c r="H173" s="587"/>
    </row>
    <row r="174" spans="2:9">
      <c r="B174" s="542"/>
      <c r="C174" s="358">
        <v>969467</v>
      </c>
      <c r="D174" s="369" t="s">
        <v>349</v>
      </c>
      <c r="E174" s="542"/>
      <c r="F174" s="358"/>
      <c r="G174" s="542"/>
      <c r="H174" s="587"/>
    </row>
    <row r="175" spans="2:9">
      <c r="B175" s="542"/>
      <c r="C175" s="358">
        <v>969425</v>
      </c>
      <c r="D175" s="369" t="s">
        <v>288</v>
      </c>
      <c r="E175" s="542"/>
      <c r="F175" s="358"/>
      <c r="G175" s="542"/>
      <c r="H175" s="587"/>
    </row>
    <row r="176" spans="2:9">
      <c r="B176" s="542"/>
      <c r="C176" s="358">
        <v>699979</v>
      </c>
      <c r="D176" s="369" t="s">
        <v>302</v>
      </c>
      <c r="E176" s="542"/>
      <c r="F176" s="358"/>
      <c r="G176" s="542"/>
      <c r="H176" s="587"/>
    </row>
    <row r="177" spans="2:8">
      <c r="B177" s="542"/>
      <c r="C177" s="358">
        <v>923266</v>
      </c>
      <c r="D177" s="369" t="s">
        <v>304</v>
      </c>
      <c r="E177" s="542"/>
      <c r="F177" s="358">
        <v>141.55500000000001</v>
      </c>
      <c r="G177" s="542"/>
      <c r="H177" s="587"/>
    </row>
    <row r="178" spans="2:8">
      <c r="B178" s="542"/>
      <c r="C178" s="358">
        <v>702423</v>
      </c>
      <c r="D178" s="369" t="s">
        <v>293</v>
      </c>
      <c r="E178" s="542"/>
      <c r="F178" s="358">
        <v>11.176</v>
      </c>
      <c r="G178" s="542"/>
      <c r="H178" s="587"/>
    </row>
    <row r="179" spans="2:8">
      <c r="B179" s="542"/>
      <c r="C179" s="358">
        <v>698592</v>
      </c>
      <c r="D179" s="369" t="s">
        <v>307</v>
      </c>
      <c r="E179" s="542"/>
      <c r="F179" s="358">
        <v>130.27600000000001</v>
      </c>
      <c r="G179" s="542"/>
      <c r="H179" s="587"/>
    </row>
    <row r="180" spans="2:8">
      <c r="B180" s="542"/>
      <c r="C180" s="358">
        <v>966707</v>
      </c>
      <c r="D180" s="369" t="s">
        <v>305</v>
      </c>
      <c r="E180" s="542"/>
      <c r="F180" s="358">
        <v>131.107</v>
      </c>
      <c r="G180" s="542"/>
      <c r="H180" s="587"/>
    </row>
    <row r="181" spans="2:8">
      <c r="B181" s="542"/>
      <c r="C181" s="358">
        <v>702373</v>
      </c>
      <c r="D181" s="369" t="s">
        <v>352</v>
      </c>
      <c r="E181" s="542"/>
      <c r="F181" s="358">
        <v>156.261</v>
      </c>
      <c r="G181" s="542"/>
      <c r="H181" s="587"/>
    </row>
    <row r="182" spans="2:8">
      <c r="B182" s="542"/>
      <c r="C182" s="358">
        <v>702374</v>
      </c>
      <c r="D182" s="369" t="s">
        <v>351</v>
      </c>
      <c r="E182" s="542"/>
      <c r="F182" s="358">
        <v>107.417</v>
      </c>
      <c r="G182" s="542"/>
      <c r="H182" s="587"/>
    </row>
    <row r="183" spans="2:8">
      <c r="B183" s="542"/>
      <c r="C183" s="358">
        <v>969501</v>
      </c>
      <c r="D183" s="369" t="s">
        <v>287</v>
      </c>
      <c r="E183" s="542"/>
      <c r="F183" s="358"/>
      <c r="G183" s="542"/>
      <c r="H183" s="587"/>
    </row>
    <row r="184" spans="2:8">
      <c r="B184" s="542"/>
      <c r="C184" s="358">
        <v>701618</v>
      </c>
      <c r="D184" s="369" t="s">
        <v>333</v>
      </c>
      <c r="E184" s="542"/>
      <c r="F184" s="358"/>
      <c r="G184" s="542"/>
      <c r="H184" s="587"/>
    </row>
    <row r="185" spans="2:8">
      <c r="B185" s="542"/>
      <c r="C185" s="358">
        <v>36113</v>
      </c>
      <c r="D185" s="369" t="s">
        <v>353</v>
      </c>
      <c r="E185" s="542"/>
      <c r="F185" s="358"/>
      <c r="G185" s="542"/>
      <c r="H185" s="587"/>
    </row>
    <row r="186" spans="2:8">
      <c r="B186" s="542"/>
      <c r="C186" s="358">
        <v>923167</v>
      </c>
      <c r="D186" s="369" t="s">
        <v>312</v>
      </c>
      <c r="E186" s="542"/>
      <c r="F186" s="358">
        <v>13.45</v>
      </c>
      <c r="G186" s="542"/>
      <c r="H186" s="587"/>
    </row>
    <row r="187" spans="2:8">
      <c r="B187" s="542"/>
      <c r="C187" s="358">
        <v>700784</v>
      </c>
      <c r="D187" s="369" t="s">
        <v>301</v>
      </c>
      <c r="E187" s="542"/>
      <c r="F187" s="358">
        <v>40.771999999999998</v>
      </c>
      <c r="G187" s="542"/>
      <c r="H187" s="587"/>
    </row>
    <row r="188" spans="2:8">
      <c r="B188" s="542"/>
      <c r="C188" s="358">
        <v>968704</v>
      </c>
      <c r="D188" s="369" t="s">
        <v>300</v>
      </c>
      <c r="E188" s="542"/>
      <c r="F188" s="358"/>
      <c r="G188" s="542"/>
      <c r="H188" s="587"/>
    </row>
    <row r="189" spans="2:8">
      <c r="B189" s="542"/>
      <c r="C189" s="358">
        <v>700518</v>
      </c>
      <c r="D189" s="369" t="s">
        <v>299</v>
      </c>
      <c r="E189" s="542"/>
      <c r="F189" s="358"/>
      <c r="G189" s="542"/>
      <c r="H189" s="587"/>
    </row>
    <row r="190" spans="2:8">
      <c r="B190" s="542"/>
      <c r="C190" s="358">
        <v>700338</v>
      </c>
      <c r="D190" s="369" t="s">
        <v>308</v>
      </c>
      <c r="E190" s="542"/>
      <c r="F190" s="358"/>
      <c r="G190" s="542"/>
      <c r="H190" s="587"/>
    </row>
    <row r="191" spans="2:8">
      <c r="B191" s="542"/>
      <c r="C191" s="358">
        <v>700755</v>
      </c>
      <c r="D191" s="369" t="s">
        <v>298</v>
      </c>
      <c r="E191" s="542"/>
      <c r="F191" s="358">
        <v>25.428999999999998</v>
      </c>
      <c r="G191" s="542"/>
      <c r="H191" s="587"/>
    </row>
    <row r="192" spans="2:8">
      <c r="B192" s="542"/>
      <c r="C192" s="358">
        <v>969387</v>
      </c>
      <c r="D192" s="369" t="s">
        <v>348</v>
      </c>
      <c r="E192" s="542"/>
      <c r="F192" s="358"/>
      <c r="G192" s="542"/>
      <c r="H192" s="587"/>
    </row>
    <row r="193" spans="2:9">
      <c r="B193" s="542"/>
      <c r="C193" s="358">
        <v>966397</v>
      </c>
      <c r="D193" s="369" t="s">
        <v>350</v>
      </c>
      <c r="E193" s="542"/>
      <c r="F193" s="358">
        <v>28.582000000000001</v>
      </c>
      <c r="G193" s="542"/>
      <c r="H193" s="587"/>
    </row>
    <row r="194" spans="2:9">
      <c r="B194" s="542"/>
      <c r="C194" s="358">
        <v>965267</v>
      </c>
      <c r="D194" s="369" t="s">
        <v>292</v>
      </c>
      <c r="E194" s="542"/>
      <c r="F194" s="358">
        <v>4.6509999999999998</v>
      </c>
      <c r="G194" s="542"/>
      <c r="H194" s="587"/>
    </row>
    <row r="195" spans="2:9">
      <c r="B195" s="542"/>
      <c r="C195" s="358">
        <v>701336</v>
      </c>
      <c r="D195" s="369" t="s">
        <v>309</v>
      </c>
      <c r="E195" s="542"/>
      <c r="F195" s="358">
        <v>24.102</v>
      </c>
      <c r="G195" s="542"/>
      <c r="H195" s="587"/>
    </row>
    <row r="196" spans="2:9">
      <c r="B196" s="542"/>
      <c r="C196" s="358">
        <v>700979</v>
      </c>
      <c r="D196" s="369" t="s">
        <v>314</v>
      </c>
      <c r="E196" s="542"/>
      <c r="F196" s="358"/>
      <c r="G196" s="542"/>
      <c r="H196" s="587"/>
    </row>
    <row r="197" spans="2:9">
      <c r="B197" s="543"/>
      <c r="C197" s="358">
        <v>701450</v>
      </c>
      <c r="D197" s="369" t="s">
        <v>313</v>
      </c>
      <c r="E197" s="543"/>
      <c r="F197" s="358">
        <v>7.0549999999999997</v>
      </c>
      <c r="G197" s="543"/>
      <c r="H197" s="588"/>
    </row>
    <row r="198" spans="2:9">
      <c r="B198" s="541">
        <v>1069</v>
      </c>
      <c r="C198" s="358">
        <v>700408</v>
      </c>
      <c r="D198" s="358" t="s">
        <v>356</v>
      </c>
      <c r="E198" s="541">
        <v>1000</v>
      </c>
      <c r="F198" s="358">
        <v>65.403000000000006</v>
      </c>
      <c r="G198" s="541">
        <f>E198-I198</f>
        <v>122.97499999999991</v>
      </c>
      <c r="H198" s="586">
        <f>I198/E198</f>
        <v>0.87702500000000005</v>
      </c>
      <c r="I198" s="413">
        <f>F198+F199+F200+F201+F202+F203+F204+F205+F206+F207+F208+F209+F210+F211+F212</f>
        <v>877.02500000000009</v>
      </c>
    </row>
    <row r="199" spans="2:9">
      <c r="B199" s="542"/>
      <c r="C199" s="358">
        <v>701575</v>
      </c>
      <c r="D199" s="358" t="s">
        <v>367</v>
      </c>
      <c r="E199" s="542"/>
      <c r="F199" s="358">
        <v>97.120999999999995</v>
      </c>
      <c r="G199" s="542"/>
      <c r="H199" s="587"/>
    </row>
    <row r="200" spans="2:9">
      <c r="B200" s="542"/>
      <c r="C200" s="358">
        <v>699254</v>
      </c>
      <c r="D200" s="358" t="s">
        <v>364</v>
      </c>
      <c r="E200" s="542"/>
      <c r="F200" s="358">
        <v>36.92</v>
      </c>
      <c r="G200" s="542"/>
      <c r="H200" s="587"/>
    </row>
    <row r="201" spans="2:9">
      <c r="B201" s="542"/>
      <c r="C201" s="358">
        <v>968831</v>
      </c>
      <c r="D201" s="358" t="s">
        <v>368</v>
      </c>
      <c r="E201" s="542"/>
      <c r="F201" s="358">
        <v>74.384</v>
      </c>
      <c r="G201" s="542"/>
      <c r="H201" s="587"/>
    </row>
    <row r="202" spans="2:9">
      <c r="B202" s="542"/>
      <c r="C202" s="358">
        <v>967935</v>
      </c>
      <c r="D202" s="358" t="s">
        <v>357</v>
      </c>
      <c r="E202" s="542"/>
      <c r="F202" s="358"/>
      <c r="G202" s="542"/>
      <c r="H202" s="587"/>
    </row>
    <row r="203" spans="2:9">
      <c r="B203" s="542"/>
      <c r="C203" s="358">
        <v>702339</v>
      </c>
      <c r="D203" s="358" t="s">
        <v>361</v>
      </c>
      <c r="E203" s="542"/>
      <c r="F203" s="358"/>
      <c r="G203" s="542"/>
      <c r="H203" s="587"/>
    </row>
    <row r="204" spans="2:9">
      <c r="B204" s="542"/>
      <c r="C204" s="358">
        <v>698811</v>
      </c>
      <c r="D204" s="358" t="s">
        <v>362</v>
      </c>
      <c r="E204" s="542"/>
      <c r="F204" s="358"/>
      <c r="G204" s="542"/>
      <c r="H204" s="587"/>
    </row>
    <row r="205" spans="2:9">
      <c r="B205" s="542"/>
      <c r="C205" s="358">
        <v>969203</v>
      </c>
      <c r="D205" s="358" t="s">
        <v>366</v>
      </c>
      <c r="E205" s="542"/>
      <c r="F205" s="358">
        <v>54.368000000000002</v>
      </c>
      <c r="G205" s="542"/>
      <c r="H205" s="587"/>
    </row>
    <row r="206" spans="2:9">
      <c r="B206" s="542"/>
      <c r="C206" s="358">
        <v>967513</v>
      </c>
      <c r="D206" s="358" t="s">
        <v>358</v>
      </c>
      <c r="E206" s="542"/>
      <c r="F206" s="358">
        <v>74.132000000000005</v>
      </c>
      <c r="G206" s="542"/>
      <c r="H206" s="587"/>
    </row>
    <row r="207" spans="2:9">
      <c r="B207" s="542"/>
      <c r="C207" s="358">
        <v>701486</v>
      </c>
      <c r="D207" s="358" t="s">
        <v>359</v>
      </c>
      <c r="E207" s="542"/>
      <c r="F207" s="358">
        <v>155.893</v>
      </c>
      <c r="G207" s="542"/>
      <c r="H207" s="587"/>
    </row>
    <row r="208" spans="2:9">
      <c r="B208" s="542"/>
      <c r="C208" s="358">
        <v>699988</v>
      </c>
      <c r="D208" s="358" t="s">
        <v>369</v>
      </c>
      <c r="E208" s="542"/>
      <c r="F208" s="358">
        <v>41.384</v>
      </c>
      <c r="G208" s="542"/>
      <c r="H208" s="587"/>
    </row>
    <row r="209" spans="2:12">
      <c r="B209" s="542"/>
      <c r="C209" s="358">
        <v>968789</v>
      </c>
      <c r="D209" s="358" t="s">
        <v>360</v>
      </c>
      <c r="E209" s="542"/>
      <c r="F209" s="358">
        <v>16.852</v>
      </c>
      <c r="G209" s="542"/>
      <c r="H209" s="587"/>
    </row>
    <row r="210" spans="2:12">
      <c r="B210" s="542"/>
      <c r="C210" s="367">
        <v>966479</v>
      </c>
      <c r="D210" s="367" t="s">
        <v>370</v>
      </c>
      <c r="E210" s="542"/>
      <c r="F210" s="358">
        <v>68.171999999999997</v>
      </c>
      <c r="G210" s="542"/>
      <c r="H210" s="587"/>
    </row>
    <row r="211" spans="2:12">
      <c r="B211" s="542"/>
      <c r="C211" s="358">
        <v>699486</v>
      </c>
      <c r="D211" s="358" t="s">
        <v>363</v>
      </c>
      <c r="E211" s="542"/>
      <c r="F211" s="358">
        <v>63.524000000000001</v>
      </c>
      <c r="G211" s="542"/>
      <c r="H211" s="587"/>
    </row>
    <row r="212" spans="2:12">
      <c r="B212" s="543"/>
      <c r="C212" s="409">
        <v>700895</v>
      </c>
      <c r="D212" s="409" t="s">
        <v>365</v>
      </c>
      <c r="E212" s="543"/>
      <c r="F212" s="358">
        <v>128.87200000000001</v>
      </c>
      <c r="G212" s="543"/>
      <c r="H212" s="588"/>
    </row>
    <row r="213" spans="2:12">
      <c r="B213" s="541">
        <v>1068</v>
      </c>
      <c r="C213" s="358">
        <v>697302</v>
      </c>
      <c r="D213" s="358" t="s">
        <v>376</v>
      </c>
      <c r="E213" s="541">
        <v>1000</v>
      </c>
      <c r="F213" s="358">
        <v>55.753</v>
      </c>
      <c r="G213" s="592">
        <f>E213-I213</f>
        <v>123.46799999999996</v>
      </c>
      <c r="H213" s="586">
        <f>I213/E213</f>
        <v>0.87653200000000009</v>
      </c>
      <c r="I213" s="413">
        <f>F213+F214+F215+F216+F217+F219+F221+F222+F223+F224+F225+F226+F227+F228+F218+F220</f>
        <v>876.53200000000004</v>
      </c>
    </row>
    <row r="214" spans="2:12">
      <c r="B214" s="542"/>
      <c r="C214" s="358">
        <v>967226</v>
      </c>
      <c r="D214" s="358" t="s">
        <v>371</v>
      </c>
      <c r="E214" s="542"/>
      <c r="F214" s="358"/>
      <c r="G214" s="593"/>
      <c r="H214" s="587"/>
    </row>
    <row r="215" spans="2:12">
      <c r="B215" s="542"/>
      <c r="C215" s="358">
        <v>968122</v>
      </c>
      <c r="D215" s="358" t="s">
        <v>374</v>
      </c>
      <c r="E215" s="542"/>
      <c r="F215" s="358">
        <v>104.65900000000001</v>
      </c>
      <c r="G215" s="593"/>
      <c r="H215" s="587"/>
    </row>
    <row r="216" spans="2:12">
      <c r="B216" s="542"/>
      <c r="C216" s="358">
        <v>702056</v>
      </c>
      <c r="D216" s="358" t="s">
        <v>375</v>
      </c>
      <c r="E216" s="542"/>
      <c r="F216" s="358"/>
      <c r="G216" s="593"/>
      <c r="H216" s="587"/>
      <c r="L216" s="417"/>
    </row>
    <row r="217" spans="2:12">
      <c r="B217" s="542"/>
      <c r="C217" s="358">
        <v>701785</v>
      </c>
      <c r="D217" s="367" t="s">
        <v>384</v>
      </c>
      <c r="E217" s="542"/>
      <c r="F217" s="358">
        <v>134.5</v>
      </c>
      <c r="G217" s="593"/>
      <c r="H217" s="587"/>
    </row>
    <row r="218" spans="2:12" s="417" customFormat="1">
      <c r="B218" s="542"/>
      <c r="C218" s="418">
        <v>702298</v>
      </c>
      <c r="D218" s="367" t="s">
        <v>479</v>
      </c>
      <c r="E218" s="542"/>
      <c r="F218" s="418"/>
      <c r="G218" s="593"/>
      <c r="H218" s="587"/>
    </row>
    <row r="219" spans="2:12">
      <c r="B219" s="542"/>
      <c r="C219" s="358">
        <v>698468</v>
      </c>
      <c r="D219" s="367" t="s">
        <v>380</v>
      </c>
      <c r="E219" s="542"/>
      <c r="F219" s="358">
        <v>113.754</v>
      </c>
      <c r="G219" s="593"/>
      <c r="H219" s="587"/>
    </row>
    <row r="220" spans="2:12" s="417" customFormat="1">
      <c r="B220" s="542"/>
      <c r="C220" s="418">
        <v>702532</v>
      </c>
      <c r="D220" s="367" t="s">
        <v>480</v>
      </c>
      <c r="E220" s="542"/>
      <c r="F220" s="418"/>
      <c r="G220" s="593"/>
      <c r="H220" s="587"/>
      <c r="L220" s="357"/>
    </row>
    <row r="221" spans="2:12">
      <c r="B221" s="542"/>
      <c r="C221" s="358">
        <v>701941</v>
      </c>
      <c r="D221" s="358" t="s">
        <v>378</v>
      </c>
      <c r="E221" s="542"/>
      <c r="F221" s="358">
        <v>62.734000000000002</v>
      </c>
      <c r="G221" s="593"/>
      <c r="H221" s="587"/>
    </row>
    <row r="222" spans="2:12">
      <c r="B222" s="542"/>
      <c r="C222" s="358">
        <v>698513</v>
      </c>
      <c r="D222" s="367" t="s">
        <v>381</v>
      </c>
      <c r="E222" s="542"/>
      <c r="F222" s="358">
        <v>89.608000000000004</v>
      </c>
      <c r="G222" s="593"/>
      <c r="H222" s="587"/>
    </row>
    <row r="223" spans="2:12">
      <c r="B223" s="542"/>
      <c r="C223" s="358">
        <v>702161</v>
      </c>
      <c r="D223" s="409" t="s">
        <v>373</v>
      </c>
      <c r="E223" s="542"/>
      <c r="F223" s="358"/>
      <c r="G223" s="593"/>
      <c r="H223" s="587"/>
    </row>
    <row r="224" spans="2:12">
      <c r="B224" s="542"/>
      <c r="C224" s="358">
        <v>700719</v>
      </c>
      <c r="D224" s="367" t="s">
        <v>383</v>
      </c>
      <c r="E224" s="542"/>
      <c r="F224" s="358">
        <v>197.31800000000001</v>
      </c>
      <c r="G224" s="593"/>
      <c r="H224" s="587"/>
    </row>
    <row r="225" spans="2:9">
      <c r="B225" s="542"/>
      <c r="C225" s="358">
        <v>968960</v>
      </c>
      <c r="D225" s="367" t="s">
        <v>382</v>
      </c>
      <c r="E225" s="542"/>
      <c r="F225" s="358">
        <v>47.631</v>
      </c>
      <c r="G225" s="593"/>
      <c r="H225" s="587"/>
    </row>
    <row r="226" spans="2:9">
      <c r="B226" s="542"/>
      <c r="C226" s="358">
        <v>919376</v>
      </c>
      <c r="D226" s="409" t="s">
        <v>377</v>
      </c>
      <c r="E226" s="542"/>
      <c r="F226" s="358">
        <v>64.808000000000007</v>
      </c>
      <c r="G226" s="593"/>
      <c r="H226" s="587"/>
    </row>
    <row r="227" spans="2:9">
      <c r="B227" s="542"/>
      <c r="C227" s="358">
        <v>700795</v>
      </c>
      <c r="D227" s="367" t="s">
        <v>379</v>
      </c>
      <c r="E227" s="542"/>
      <c r="F227" s="358">
        <v>5.7670000000000003</v>
      </c>
      <c r="G227" s="593"/>
      <c r="H227" s="587"/>
    </row>
    <row r="228" spans="2:9">
      <c r="B228" s="543"/>
      <c r="C228" s="358">
        <v>961805</v>
      </c>
      <c r="D228" s="409" t="s">
        <v>372</v>
      </c>
      <c r="E228" s="543"/>
      <c r="F228" s="358"/>
      <c r="G228" s="594"/>
      <c r="H228" s="588"/>
    </row>
    <row r="229" spans="2:9">
      <c r="B229" s="541">
        <v>1109</v>
      </c>
      <c r="C229" s="358">
        <v>966146</v>
      </c>
      <c r="D229" s="358" t="s">
        <v>410</v>
      </c>
      <c r="E229" s="541">
        <v>3300</v>
      </c>
      <c r="F229" s="358">
        <v>31.042000000000002</v>
      </c>
      <c r="G229" s="541">
        <f>E229-I229</f>
        <v>2290.3409999999999</v>
      </c>
      <c r="H229" s="586">
        <f>I229/E229</f>
        <v>0.30595727272727274</v>
      </c>
      <c r="I229" s="412">
        <f>F229+F230+F231+F232+F233+F234+F235+F236+F237+F238+F239+F240+F241+F242+F243+F244+F245+F246+F247+F248+F249+F250+F251+F252+F253+F254+F255+F257+F256+F258+F259+F260+F261</f>
        <v>1009.6590000000001</v>
      </c>
    </row>
    <row r="230" spans="2:9">
      <c r="B230" s="542"/>
      <c r="C230" s="358">
        <v>701703</v>
      </c>
      <c r="D230" s="358" t="s">
        <v>408</v>
      </c>
      <c r="E230" s="542"/>
      <c r="F230" s="358">
        <v>106.53</v>
      </c>
      <c r="G230" s="542"/>
      <c r="H230" s="587"/>
    </row>
    <row r="231" spans="2:9">
      <c r="B231" s="542"/>
      <c r="C231" s="358">
        <v>969679</v>
      </c>
      <c r="D231" s="358" t="s">
        <v>396</v>
      </c>
      <c r="E231" s="542"/>
      <c r="F231" s="358">
        <v>34.231000000000002</v>
      </c>
      <c r="G231" s="542"/>
      <c r="H231" s="587"/>
    </row>
    <row r="232" spans="2:9">
      <c r="B232" s="542"/>
      <c r="C232" s="358">
        <v>952452</v>
      </c>
      <c r="D232" s="358" t="s">
        <v>210</v>
      </c>
      <c r="E232" s="542"/>
      <c r="F232" s="358">
        <v>13.034000000000001</v>
      </c>
      <c r="G232" s="542"/>
      <c r="H232" s="587"/>
    </row>
    <row r="233" spans="2:9">
      <c r="B233" s="542"/>
      <c r="C233" s="358">
        <v>950818</v>
      </c>
      <c r="D233" s="358" t="s">
        <v>402</v>
      </c>
      <c r="E233" s="542"/>
      <c r="F233" s="358">
        <v>81.27</v>
      </c>
      <c r="G233" s="542"/>
      <c r="H233" s="587"/>
    </row>
    <row r="234" spans="2:9">
      <c r="B234" s="542"/>
      <c r="C234" s="358">
        <v>961126</v>
      </c>
      <c r="D234" s="358" t="s">
        <v>205</v>
      </c>
      <c r="E234" s="542"/>
      <c r="F234" s="358"/>
      <c r="G234" s="542"/>
      <c r="H234" s="587"/>
    </row>
    <row r="235" spans="2:9">
      <c r="B235" s="542"/>
      <c r="C235" s="358">
        <v>697288</v>
      </c>
      <c r="D235" s="358" t="s">
        <v>411</v>
      </c>
      <c r="E235" s="542"/>
      <c r="F235" s="358"/>
      <c r="G235" s="542"/>
      <c r="H235" s="587"/>
    </row>
    <row r="236" spans="2:9">
      <c r="B236" s="542"/>
      <c r="C236" s="358">
        <v>968864</v>
      </c>
      <c r="D236" s="358" t="s">
        <v>211</v>
      </c>
      <c r="E236" s="542"/>
      <c r="F236" s="358"/>
      <c r="G236" s="542"/>
      <c r="H236" s="587"/>
    </row>
    <row r="237" spans="2:9">
      <c r="B237" s="542"/>
      <c r="C237" s="358">
        <v>958713</v>
      </c>
      <c r="D237" s="358" t="s">
        <v>398</v>
      </c>
      <c r="E237" s="542"/>
      <c r="F237" s="358"/>
      <c r="G237" s="542"/>
      <c r="H237" s="587"/>
    </row>
    <row r="238" spans="2:9">
      <c r="B238" s="542"/>
      <c r="C238" s="358">
        <v>951974</v>
      </c>
      <c r="D238" s="358" t="s">
        <v>207</v>
      </c>
      <c r="E238" s="542"/>
      <c r="F238" s="358">
        <v>5.67</v>
      </c>
      <c r="G238" s="542"/>
      <c r="H238" s="587"/>
    </row>
    <row r="239" spans="2:9">
      <c r="B239" s="542"/>
      <c r="C239" s="358">
        <v>701702</v>
      </c>
      <c r="D239" s="358" t="s">
        <v>263</v>
      </c>
      <c r="E239" s="542"/>
      <c r="F239" s="358">
        <v>97.013999999999996</v>
      </c>
      <c r="G239" s="542"/>
      <c r="H239" s="587"/>
    </row>
    <row r="240" spans="2:9">
      <c r="B240" s="542"/>
      <c r="C240" s="358">
        <v>700299</v>
      </c>
      <c r="D240" s="358" t="s">
        <v>400</v>
      </c>
      <c r="E240" s="542"/>
      <c r="F240" s="358"/>
      <c r="G240" s="542"/>
      <c r="H240" s="587"/>
    </row>
    <row r="241" spans="2:8">
      <c r="B241" s="542"/>
      <c r="C241" s="358">
        <v>701765</v>
      </c>
      <c r="D241" s="358" t="s">
        <v>395</v>
      </c>
      <c r="E241" s="542"/>
      <c r="F241" s="358"/>
      <c r="G241" s="542"/>
      <c r="H241" s="587"/>
    </row>
    <row r="242" spans="2:8">
      <c r="B242" s="542"/>
      <c r="C242" s="358">
        <v>697538</v>
      </c>
      <c r="D242" s="358" t="s">
        <v>401</v>
      </c>
      <c r="E242" s="542"/>
      <c r="F242" s="358"/>
      <c r="G242" s="542"/>
      <c r="H242" s="587"/>
    </row>
    <row r="243" spans="2:8">
      <c r="B243" s="542"/>
      <c r="C243" s="358">
        <v>698168</v>
      </c>
      <c r="D243" s="358" t="s">
        <v>212</v>
      </c>
      <c r="E243" s="542"/>
      <c r="F243" s="358"/>
      <c r="G243" s="542"/>
      <c r="H243" s="587"/>
    </row>
    <row r="244" spans="2:8">
      <c r="B244" s="542"/>
      <c r="C244" s="358">
        <v>969290</v>
      </c>
      <c r="D244" s="358" t="s">
        <v>404</v>
      </c>
      <c r="E244" s="542"/>
      <c r="F244" s="358">
        <v>39.633000000000003</v>
      </c>
      <c r="G244" s="542"/>
      <c r="H244" s="587"/>
    </row>
    <row r="245" spans="2:8">
      <c r="B245" s="542"/>
      <c r="C245" s="358">
        <v>959954</v>
      </c>
      <c r="D245" s="358" t="s">
        <v>403</v>
      </c>
      <c r="E245" s="542"/>
      <c r="F245" s="358">
        <v>67.760000000000005</v>
      </c>
      <c r="G245" s="542"/>
      <c r="H245" s="587"/>
    </row>
    <row r="246" spans="2:8">
      <c r="B246" s="542"/>
      <c r="C246" s="358">
        <v>924718</v>
      </c>
      <c r="D246" s="358" t="s">
        <v>399</v>
      </c>
      <c r="E246" s="542"/>
      <c r="F246" s="358">
        <v>54.411000000000001</v>
      </c>
      <c r="G246" s="542"/>
      <c r="H246" s="587"/>
    </row>
    <row r="247" spans="2:8">
      <c r="B247" s="542"/>
      <c r="C247" s="358">
        <v>958085</v>
      </c>
      <c r="D247" s="358" t="s">
        <v>406</v>
      </c>
      <c r="E247" s="542"/>
      <c r="F247" s="358">
        <v>50.192999999999998</v>
      </c>
      <c r="G247" s="542"/>
      <c r="H247" s="587"/>
    </row>
    <row r="248" spans="2:8">
      <c r="B248" s="542"/>
      <c r="C248" s="358">
        <v>5592</v>
      </c>
      <c r="D248" s="358" t="s">
        <v>414</v>
      </c>
      <c r="E248" s="542"/>
      <c r="F248" s="358"/>
      <c r="G248" s="542"/>
      <c r="H248" s="587"/>
    </row>
    <row r="249" spans="2:8">
      <c r="B249" s="542"/>
      <c r="C249" s="358">
        <v>958573</v>
      </c>
      <c r="D249" s="358" t="s">
        <v>208</v>
      </c>
      <c r="E249" s="542"/>
      <c r="F249" s="358"/>
      <c r="G249" s="542"/>
      <c r="H249" s="587"/>
    </row>
    <row r="250" spans="2:8">
      <c r="B250" s="542"/>
      <c r="C250" s="358">
        <v>952296</v>
      </c>
      <c r="D250" s="358" t="s">
        <v>415</v>
      </c>
      <c r="E250" s="542"/>
      <c r="F250" s="358">
        <v>101.2</v>
      </c>
      <c r="G250" s="542"/>
      <c r="H250" s="587"/>
    </row>
    <row r="251" spans="2:8">
      <c r="B251" s="542"/>
      <c r="C251" s="358">
        <v>966577</v>
      </c>
      <c r="D251" s="358" t="s">
        <v>409</v>
      </c>
      <c r="E251" s="542"/>
      <c r="F251" s="358"/>
      <c r="G251" s="542"/>
      <c r="H251" s="587"/>
    </row>
    <row r="252" spans="2:8">
      <c r="B252" s="542"/>
      <c r="C252" s="358">
        <v>699838</v>
      </c>
      <c r="D252" s="358" t="s">
        <v>206</v>
      </c>
      <c r="E252" s="542"/>
      <c r="F252" s="358">
        <v>57.734999999999999</v>
      </c>
      <c r="G252" s="542"/>
      <c r="H252" s="587"/>
    </row>
    <row r="253" spans="2:8">
      <c r="B253" s="542"/>
      <c r="C253" s="358">
        <v>967393</v>
      </c>
      <c r="D253" s="358" t="s">
        <v>214</v>
      </c>
      <c r="E253" s="542"/>
      <c r="F253" s="358">
        <v>101.509</v>
      </c>
      <c r="G253" s="542"/>
      <c r="H253" s="587"/>
    </row>
    <row r="254" spans="2:8">
      <c r="B254" s="542"/>
      <c r="C254" s="358">
        <v>959986</v>
      </c>
      <c r="D254" s="358" t="s">
        <v>213</v>
      </c>
      <c r="E254" s="542"/>
      <c r="F254" s="358">
        <v>54.094999999999999</v>
      </c>
      <c r="G254" s="542"/>
      <c r="H254" s="587"/>
    </row>
    <row r="255" spans="2:8">
      <c r="B255" s="542"/>
      <c r="C255" s="358">
        <v>699134</v>
      </c>
      <c r="D255" s="358" t="s">
        <v>394</v>
      </c>
      <c r="E255" s="542"/>
      <c r="F255" s="358">
        <v>48.094999999999999</v>
      </c>
      <c r="G255" s="542"/>
      <c r="H255" s="587"/>
    </row>
    <row r="256" spans="2:8">
      <c r="B256" s="542"/>
      <c r="C256" s="358">
        <v>968727</v>
      </c>
      <c r="D256" s="358" t="s">
        <v>413</v>
      </c>
      <c r="E256" s="542"/>
      <c r="F256" s="358"/>
      <c r="G256" s="542"/>
      <c r="H256" s="587"/>
    </row>
    <row r="257" spans="2:9">
      <c r="B257" s="542"/>
      <c r="C257" s="358">
        <v>959987</v>
      </c>
      <c r="D257" s="358" t="s">
        <v>412</v>
      </c>
      <c r="E257" s="542"/>
      <c r="F257" s="358"/>
      <c r="G257" s="542"/>
      <c r="H257" s="587"/>
    </row>
    <row r="258" spans="2:9">
      <c r="B258" s="542"/>
      <c r="C258" s="358">
        <v>960959</v>
      </c>
      <c r="D258" s="358" t="s">
        <v>407</v>
      </c>
      <c r="E258" s="542"/>
      <c r="F258" s="358">
        <v>31.65</v>
      </c>
      <c r="G258" s="542"/>
      <c r="H258" s="587"/>
    </row>
    <row r="259" spans="2:9">
      <c r="B259" s="542"/>
      <c r="C259" s="358">
        <v>967342</v>
      </c>
      <c r="D259" s="358" t="s">
        <v>280</v>
      </c>
      <c r="E259" s="542"/>
      <c r="F259" s="358"/>
      <c r="G259" s="542"/>
      <c r="H259" s="587"/>
    </row>
    <row r="260" spans="2:9">
      <c r="B260" s="542"/>
      <c r="C260" s="358">
        <v>966129</v>
      </c>
      <c r="D260" s="358" t="s">
        <v>405</v>
      </c>
      <c r="E260" s="542"/>
      <c r="F260" s="358">
        <v>1.74</v>
      </c>
      <c r="G260" s="542"/>
      <c r="H260" s="587"/>
    </row>
    <row r="261" spans="2:9">
      <c r="B261" s="543"/>
      <c r="C261" s="358">
        <v>969525</v>
      </c>
      <c r="D261" s="358" t="s">
        <v>397</v>
      </c>
      <c r="E261" s="543"/>
      <c r="F261" s="358">
        <v>32.847000000000001</v>
      </c>
      <c r="G261" s="543"/>
      <c r="H261" s="588"/>
    </row>
    <row r="262" spans="2:9">
      <c r="B262" s="541">
        <v>1211</v>
      </c>
      <c r="C262" s="358">
        <v>963710</v>
      </c>
      <c r="D262" s="358" t="s">
        <v>230</v>
      </c>
      <c r="E262" s="541">
        <v>3000</v>
      </c>
      <c r="F262" s="358">
        <v>77.855000000000004</v>
      </c>
      <c r="G262" s="541">
        <f>E262-I262</f>
        <v>386.34900000000016</v>
      </c>
      <c r="H262" s="589">
        <f>I262/E262</f>
        <v>0.87121699999999991</v>
      </c>
      <c r="I262" s="413">
        <f>SUM(F262:F291)</f>
        <v>2613.6509999999998</v>
      </c>
    </row>
    <row r="263" spans="2:9">
      <c r="B263" s="542"/>
      <c r="C263" s="358">
        <v>698955</v>
      </c>
      <c r="D263" s="358" t="s">
        <v>231</v>
      </c>
      <c r="E263" s="542"/>
      <c r="F263" s="358">
        <v>148.38499999999999</v>
      </c>
      <c r="G263" s="542"/>
      <c r="H263" s="590"/>
    </row>
    <row r="264" spans="2:9">
      <c r="B264" s="542"/>
      <c r="C264" s="358">
        <v>697270</v>
      </c>
      <c r="D264" s="358" t="s">
        <v>219</v>
      </c>
      <c r="E264" s="542"/>
      <c r="F264" s="358"/>
      <c r="G264" s="542"/>
      <c r="H264" s="590"/>
    </row>
    <row r="265" spans="2:9">
      <c r="B265" s="542"/>
      <c r="C265" s="358">
        <v>968468</v>
      </c>
      <c r="D265" s="358" t="s">
        <v>218</v>
      </c>
      <c r="E265" s="542"/>
      <c r="F265" s="358">
        <v>67.319999999999993</v>
      </c>
      <c r="G265" s="542"/>
      <c r="H265" s="590"/>
    </row>
    <row r="266" spans="2:9">
      <c r="B266" s="542"/>
      <c r="C266" s="358">
        <v>963744</v>
      </c>
      <c r="D266" s="358" t="s">
        <v>215</v>
      </c>
      <c r="E266" s="542"/>
      <c r="F266" s="358">
        <v>64.215000000000003</v>
      </c>
      <c r="G266" s="542"/>
      <c r="H266" s="590"/>
    </row>
    <row r="267" spans="2:9">
      <c r="B267" s="542"/>
      <c r="C267" s="358">
        <v>700496</v>
      </c>
      <c r="D267" s="358" t="s">
        <v>217</v>
      </c>
      <c r="E267" s="542"/>
      <c r="F267" s="358">
        <v>53.72</v>
      </c>
      <c r="G267" s="542"/>
      <c r="H267" s="590"/>
    </row>
    <row r="268" spans="2:9">
      <c r="B268" s="542"/>
      <c r="C268" s="358">
        <v>967700</v>
      </c>
      <c r="D268" s="358" t="s">
        <v>241</v>
      </c>
      <c r="E268" s="542"/>
      <c r="F268" s="358">
        <v>122.496</v>
      </c>
      <c r="G268" s="542"/>
      <c r="H268" s="590"/>
    </row>
    <row r="269" spans="2:9">
      <c r="B269" s="542"/>
      <c r="C269" s="358">
        <v>969691</v>
      </c>
      <c r="D269" s="358" t="s">
        <v>239</v>
      </c>
      <c r="E269" s="542"/>
      <c r="F269" s="358">
        <v>58.57</v>
      </c>
      <c r="G269" s="542"/>
      <c r="H269" s="590"/>
    </row>
    <row r="270" spans="2:9">
      <c r="B270" s="542"/>
      <c r="C270" s="358">
        <v>701484</v>
      </c>
      <c r="D270" s="358" t="s">
        <v>227</v>
      </c>
      <c r="E270" s="542"/>
      <c r="F270" s="358">
        <v>114.04</v>
      </c>
      <c r="G270" s="542"/>
      <c r="H270" s="590"/>
    </row>
    <row r="271" spans="2:9">
      <c r="B271" s="542"/>
      <c r="C271" s="358">
        <v>701030</v>
      </c>
      <c r="D271" s="358" t="s">
        <v>222</v>
      </c>
      <c r="E271" s="542"/>
      <c r="F271" s="358">
        <v>77.25</v>
      </c>
      <c r="G271" s="542"/>
      <c r="H271" s="590"/>
    </row>
    <row r="272" spans="2:9">
      <c r="B272" s="542"/>
      <c r="C272" s="358">
        <v>953967</v>
      </c>
      <c r="D272" s="358" t="s">
        <v>233</v>
      </c>
      <c r="E272" s="542"/>
      <c r="F272" s="358">
        <v>116.74</v>
      </c>
      <c r="G272" s="542"/>
      <c r="H272" s="590"/>
    </row>
    <row r="273" spans="2:8">
      <c r="B273" s="542"/>
      <c r="C273" s="358">
        <v>699495</v>
      </c>
      <c r="D273" s="358" t="s">
        <v>236</v>
      </c>
      <c r="E273" s="542"/>
      <c r="F273" s="358">
        <v>34.085000000000001</v>
      </c>
      <c r="G273" s="542"/>
      <c r="H273" s="590"/>
    </row>
    <row r="274" spans="2:8">
      <c r="B274" s="542"/>
      <c r="C274" s="358">
        <v>955847</v>
      </c>
      <c r="D274" s="358" t="s">
        <v>246</v>
      </c>
      <c r="E274" s="542"/>
      <c r="F274" s="358">
        <v>63.104999999999997</v>
      </c>
      <c r="G274" s="542"/>
      <c r="H274" s="590"/>
    </row>
    <row r="275" spans="2:8">
      <c r="B275" s="542"/>
      <c r="C275" s="358">
        <v>955947</v>
      </c>
      <c r="D275" s="358" t="s">
        <v>242</v>
      </c>
      <c r="E275" s="542"/>
      <c r="F275" s="358">
        <v>122.08</v>
      </c>
      <c r="G275" s="542"/>
      <c r="H275" s="590"/>
    </row>
    <row r="276" spans="2:8">
      <c r="B276" s="542"/>
      <c r="C276" s="358">
        <v>701277</v>
      </c>
      <c r="D276" s="358" t="s">
        <v>243</v>
      </c>
      <c r="E276" s="542"/>
      <c r="F276" s="358">
        <v>13.715</v>
      </c>
      <c r="G276" s="542"/>
      <c r="H276" s="590"/>
    </row>
    <row r="277" spans="2:8">
      <c r="B277" s="542"/>
      <c r="C277" s="358">
        <v>968467</v>
      </c>
      <c r="D277" s="358" t="s">
        <v>235</v>
      </c>
      <c r="E277" s="542"/>
      <c r="F277" s="358">
        <v>52.015000000000001</v>
      </c>
      <c r="G277" s="542"/>
      <c r="H277" s="590"/>
    </row>
    <row r="278" spans="2:8">
      <c r="B278" s="542"/>
      <c r="C278" s="358">
        <v>951110</v>
      </c>
      <c r="D278" s="358" t="s">
        <v>225</v>
      </c>
      <c r="E278" s="542"/>
      <c r="F278" s="358">
        <v>121.694</v>
      </c>
      <c r="G278" s="542"/>
      <c r="H278" s="590"/>
    </row>
    <row r="279" spans="2:8">
      <c r="B279" s="542"/>
      <c r="C279" s="358">
        <v>701659</v>
      </c>
      <c r="D279" s="358" t="s">
        <v>228</v>
      </c>
      <c r="E279" s="542"/>
      <c r="F279" s="358">
        <v>108.654</v>
      </c>
      <c r="G279" s="542"/>
      <c r="H279" s="590"/>
    </row>
    <row r="280" spans="2:8">
      <c r="B280" s="542"/>
      <c r="C280" s="358">
        <v>960352</v>
      </c>
      <c r="D280" s="358" t="s">
        <v>224</v>
      </c>
      <c r="E280" s="542"/>
      <c r="F280" s="358"/>
      <c r="G280" s="542"/>
      <c r="H280" s="590"/>
    </row>
    <row r="281" spans="2:8">
      <c r="B281" s="542"/>
      <c r="C281" s="358">
        <v>969269</v>
      </c>
      <c r="D281" s="358" t="s">
        <v>229</v>
      </c>
      <c r="E281" s="542"/>
      <c r="F281" s="358">
        <v>122.714</v>
      </c>
      <c r="G281" s="542"/>
      <c r="H281" s="590"/>
    </row>
    <row r="282" spans="2:8">
      <c r="B282" s="542"/>
      <c r="C282" s="358">
        <v>700289</v>
      </c>
      <c r="D282" s="358" t="s">
        <v>220</v>
      </c>
      <c r="E282" s="542"/>
      <c r="F282" s="358">
        <v>118.045</v>
      </c>
      <c r="G282" s="542"/>
      <c r="H282" s="590"/>
    </row>
    <row r="283" spans="2:8">
      <c r="B283" s="542"/>
      <c r="C283" s="358">
        <v>697575</v>
      </c>
      <c r="D283" s="358" t="s">
        <v>234</v>
      </c>
      <c r="E283" s="542"/>
      <c r="F283" s="358">
        <v>61.59</v>
      </c>
      <c r="G283" s="542"/>
      <c r="H283" s="590"/>
    </row>
    <row r="284" spans="2:8">
      <c r="B284" s="542"/>
      <c r="C284" s="358">
        <v>921881</v>
      </c>
      <c r="D284" s="358" t="s">
        <v>245</v>
      </c>
      <c r="E284" s="542"/>
      <c r="F284" s="358">
        <v>79.37</v>
      </c>
      <c r="G284" s="542"/>
      <c r="H284" s="590"/>
    </row>
    <row r="285" spans="2:8">
      <c r="B285" s="542"/>
      <c r="C285" s="358">
        <v>701560</v>
      </c>
      <c r="D285" s="358" t="s">
        <v>216</v>
      </c>
      <c r="E285" s="542"/>
      <c r="F285" s="358">
        <v>61.63</v>
      </c>
      <c r="G285" s="542"/>
      <c r="H285" s="590"/>
    </row>
    <row r="286" spans="2:8">
      <c r="B286" s="542"/>
      <c r="C286" s="358">
        <v>969394</v>
      </c>
      <c r="D286" s="358" t="s">
        <v>221</v>
      </c>
      <c r="E286" s="542"/>
      <c r="F286" s="358">
        <v>160.84</v>
      </c>
      <c r="G286" s="542"/>
      <c r="H286" s="590"/>
    </row>
    <row r="287" spans="2:8">
      <c r="B287" s="542"/>
      <c r="C287" s="358">
        <v>951184</v>
      </c>
      <c r="D287" s="358" t="s">
        <v>240</v>
      </c>
      <c r="E287" s="542"/>
      <c r="F287" s="358">
        <v>137.85</v>
      </c>
      <c r="G287" s="542"/>
      <c r="H287" s="590"/>
    </row>
    <row r="288" spans="2:8">
      <c r="B288" s="542"/>
      <c r="C288" s="358">
        <v>968796</v>
      </c>
      <c r="D288" s="358" t="s">
        <v>226</v>
      </c>
      <c r="E288" s="542"/>
      <c r="F288" s="358">
        <v>113.298</v>
      </c>
      <c r="G288" s="542"/>
      <c r="H288" s="590"/>
    </row>
    <row r="289" spans="2:8">
      <c r="B289" s="542"/>
      <c r="C289" s="358">
        <v>699343</v>
      </c>
      <c r="D289" s="358" t="s">
        <v>244</v>
      </c>
      <c r="E289" s="542"/>
      <c r="F289" s="358">
        <v>53.92</v>
      </c>
      <c r="G289" s="542"/>
      <c r="H289" s="590"/>
    </row>
    <row r="290" spans="2:8">
      <c r="B290" s="542"/>
      <c r="C290" s="358">
        <v>699245</v>
      </c>
      <c r="D290" s="358" t="s">
        <v>223</v>
      </c>
      <c r="E290" s="542"/>
      <c r="F290" s="358">
        <v>184.565</v>
      </c>
      <c r="G290" s="542"/>
      <c r="H290" s="590"/>
    </row>
    <row r="291" spans="2:8">
      <c r="B291" s="543"/>
      <c r="C291" s="358">
        <v>965905</v>
      </c>
      <c r="D291" s="358" t="s">
        <v>238</v>
      </c>
      <c r="E291" s="543"/>
      <c r="F291" s="358">
        <v>103.89</v>
      </c>
      <c r="G291" s="543"/>
      <c r="H291" s="591"/>
    </row>
    <row r="292" spans="2:8">
      <c r="B292" s="358">
        <v>1209</v>
      </c>
      <c r="C292" s="358">
        <v>968423</v>
      </c>
      <c r="D292" s="358" t="s">
        <v>430</v>
      </c>
      <c r="E292" s="358">
        <v>100</v>
      </c>
      <c r="F292" s="358"/>
      <c r="G292" s="358">
        <f>E292-F292</f>
        <v>100</v>
      </c>
      <c r="H292" s="202">
        <f>F292/E292</f>
        <v>0</v>
      </c>
    </row>
    <row r="293" spans="2:8">
      <c r="B293" s="549">
        <v>1384</v>
      </c>
      <c r="C293" s="402">
        <v>952452</v>
      </c>
      <c r="D293" s="402" t="s">
        <v>210</v>
      </c>
      <c r="E293" s="541">
        <v>230</v>
      </c>
      <c r="F293" s="402"/>
      <c r="G293" s="541">
        <f>E293-(F293+F294)</f>
        <v>230</v>
      </c>
      <c r="H293" s="586">
        <f>(F294+F293)/E293</f>
        <v>0</v>
      </c>
    </row>
    <row r="294" spans="2:8">
      <c r="B294" s="549"/>
      <c r="C294" s="402">
        <v>969679</v>
      </c>
      <c r="D294" s="402" t="s">
        <v>396</v>
      </c>
      <c r="E294" s="543"/>
      <c r="F294" s="402"/>
      <c r="G294" s="543"/>
      <c r="H294" s="588"/>
    </row>
    <row r="295" spans="2:8">
      <c r="B295" s="549"/>
      <c r="C295" s="402">
        <v>5592</v>
      </c>
      <c r="D295" s="402" t="s">
        <v>414</v>
      </c>
      <c r="E295" s="541">
        <v>345</v>
      </c>
      <c r="F295" s="402"/>
      <c r="G295" s="541">
        <f>E295-(F295+F296+F297)</f>
        <v>345</v>
      </c>
      <c r="H295" s="586">
        <f>(F295+F296+F297)/E295</f>
        <v>0</v>
      </c>
    </row>
    <row r="296" spans="2:8">
      <c r="B296" s="549"/>
      <c r="C296" s="402">
        <v>952296</v>
      </c>
      <c r="D296" s="402" t="s">
        <v>415</v>
      </c>
      <c r="E296" s="542"/>
      <c r="F296" s="402"/>
      <c r="G296" s="542"/>
      <c r="H296" s="587"/>
    </row>
    <row r="297" spans="2:8">
      <c r="B297" s="549"/>
      <c r="C297" s="402">
        <v>699838</v>
      </c>
      <c r="D297" s="402" t="s">
        <v>206</v>
      </c>
      <c r="E297" s="543"/>
      <c r="F297" s="402"/>
      <c r="G297" s="543"/>
      <c r="H297" s="588"/>
    </row>
    <row r="298" spans="2:8">
      <c r="B298" s="549"/>
      <c r="C298" s="402">
        <v>958573</v>
      </c>
      <c r="D298" s="402" t="s">
        <v>208</v>
      </c>
      <c r="E298" s="402">
        <v>115</v>
      </c>
      <c r="F298" s="402"/>
      <c r="G298" s="402">
        <f>E298+F298</f>
        <v>115</v>
      </c>
      <c r="H298" s="202">
        <f>F298/E298</f>
        <v>0</v>
      </c>
    </row>
    <row r="299" spans="2:8">
      <c r="B299" s="549"/>
      <c r="C299" s="402">
        <v>969525</v>
      </c>
      <c r="D299" s="402" t="s">
        <v>397</v>
      </c>
      <c r="E299" s="402">
        <v>115</v>
      </c>
      <c r="F299" s="402"/>
      <c r="G299" s="402">
        <f t="shared" ref="G299:G312" si="2">E299+F299</f>
        <v>115</v>
      </c>
      <c r="H299" s="202">
        <f t="shared" ref="H299:H312" si="3">F299/E299</f>
        <v>0</v>
      </c>
    </row>
    <row r="300" spans="2:8">
      <c r="B300" s="549"/>
      <c r="C300" s="402">
        <v>968864</v>
      </c>
      <c r="D300" s="402" t="s">
        <v>211</v>
      </c>
      <c r="E300" s="402">
        <v>115</v>
      </c>
      <c r="F300" s="402"/>
      <c r="G300" s="402">
        <f t="shared" si="2"/>
        <v>115</v>
      </c>
      <c r="H300" s="202">
        <f t="shared" si="3"/>
        <v>0</v>
      </c>
    </row>
    <row r="301" spans="2:8">
      <c r="B301" s="549"/>
      <c r="C301" s="402">
        <v>698168</v>
      </c>
      <c r="D301" s="402" t="s">
        <v>212</v>
      </c>
      <c r="E301" s="402">
        <v>115</v>
      </c>
      <c r="F301" s="402"/>
      <c r="G301" s="402">
        <f t="shared" si="2"/>
        <v>115</v>
      </c>
      <c r="H301" s="202">
        <f t="shared" si="3"/>
        <v>0</v>
      </c>
    </row>
    <row r="302" spans="2:8">
      <c r="B302" s="549"/>
      <c r="C302" s="402">
        <v>958713</v>
      </c>
      <c r="D302" s="402" t="s">
        <v>398</v>
      </c>
      <c r="E302" s="402">
        <v>115</v>
      </c>
      <c r="F302" s="402"/>
      <c r="G302" s="402">
        <f t="shared" si="2"/>
        <v>115</v>
      </c>
      <c r="H302" s="202">
        <f t="shared" si="3"/>
        <v>0</v>
      </c>
    </row>
    <row r="303" spans="2:8">
      <c r="B303" s="549"/>
      <c r="C303" s="402">
        <v>951974</v>
      </c>
      <c r="D303" s="402" t="s">
        <v>207</v>
      </c>
      <c r="E303" s="402">
        <v>115</v>
      </c>
      <c r="F303" s="402"/>
      <c r="G303" s="402">
        <f t="shared" si="2"/>
        <v>115</v>
      </c>
      <c r="H303" s="202">
        <f t="shared" si="3"/>
        <v>0</v>
      </c>
    </row>
    <row r="304" spans="2:8">
      <c r="B304" s="549"/>
      <c r="C304" s="402">
        <v>950818</v>
      </c>
      <c r="D304" s="402" t="s">
        <v>402</v>
      </c>
      <c r="E304" s="402">
        <v>115</v>
      </c>
      <c r="F304" s="402"/>
      <c r="G304" s="402">
        <f t="shared" si="2"/>
        <v>115</v>
      </c>
      <c r="H304" s="202">
        <f t="shared" si="3"/>
        <v>0</v>
      </c>
    </row>
    <row r="305" spans="2:8">
      <c r="B305" s="549"/>
      <c r="C305" s="402">
        <v>960959</v>
      </c>
      <c r="D305" s="402" t="s">
        <v>407</v>
      </c>
      <c r="E305" s="402">
        <v>115</v>
      </c>
      <c r="F305" s="402"/>
      <c r="G305" s="402">
        <f t="shared" si="2"/>
        <v>115</v>
      </c>
      <c r="H305" s="202">
        <f t="shared" si="3"/>
        <v>0</v>
      </c>
    </row>
    <row r="306" spans="2:8">
      <c r="B306" s="549"/>
      <c r="C306" s="402">
        <v>958085</v>
      </c>
      <c r="D306" s="402" t="s">
        <v>406</v>
      </c>
      <c r="E306" s="402">
        <v>115</v>
      </c>
      <c r="F306" s="402"/>
      <c r="G306" s="402">
        <f t="shared" si="2"/>
        <v>115</v>
      </c>
      <c r="H306" s="202">
        <f t="shared" si="3"/>
        <v>0</v>
      </c>
    </row>
    <row r="307" spans="2:8">
      <c r="B307" s="549"/>
      <c r="C307" s="402">
        <v>700299</v>
      </c>
      <c r="D307" s="402" t="s">
        <v>400</v>
      </c>
      <c r="E307" s="402">
        <v>115</v>
      </c>
      <c r="F307" s="402"/>
      <c r="G307" s="402">
        <f t="shared" si="2"/>
        <v>115</v>
      </c>
      <c r="H307" s="202">
        <f t="shared" si="3"/>
        <v>0</v>
      </c>
    </row>
    <row r="308" spans="2:8">
      <c r="B308" s="549"/>
      <c r="C308" s="402">
        <v>969290</v>
      </c>
      <c r="D308" s="402" t="s">
        <v>404</v>
      </c>
      <c r="E308" s="402">
        <v>115</v>
      </c>
      <c r="F308" s="402"/>
      <c r="G308" s="402">
        <f t="shared" si="2"/>
        <v>115</v>
      </c>
      <c r="H308" s="202">
        <f t="shared" si="3"/>
        <v>0</v>
      </c>
    </row>
    <row r="309" spans="2:8">
      <c r="B309" s="549"/>
      <c r="C309" s="402">
        <v>697288</v>
      </c>
      <c r="D309" s="402" t="s">
        <v>411</v>
      </c>
      <c r="E309" s="402">
        <v>115</v>
      </c>
      <c r="F309" s="402"/>
      <c r="G309" s="402">
        <f t="shared" si="2"/>
        <v>115</v>
      </c>
      <c r="H309" s="202">
        <f t="shared" si="3"/>
        <v>0</v>
      </c>
    </row>
    <row r="310" spans="2:8">
      <c r="B310" s="549"/>
      <c r="C310" s="402">
        <v>697538</v>
      </c>
      <c r="D310" s="402" t="s">
        <v>401</v>
      </c>
      <c r="E310" s="402">
        <v>115</v>
      </c>
      <c r="F310" s="402"/>
      <c r="G310" s="402">
        <f t="shared" si="2"/>
        <v>115</v>
      </c>
      <c r="H310" s="202">
        <f t="shared" si="3"/>
        <v>0</v>
      </c>
    </row>
    <row r="311" spans="2:8">
      <c r="B311" s="549"/>
      <c r="C311" s="402">
        <v>961126</v>
      </c>
      <c r="D311" s="402" t="s">
        <v>205</v>
      </c>
      <c r="E311" s="402">
        <v>115</v>
      </c>
      <c r="F311" s="402"/>
      <c r="G311" s="402">
        <f t="shared" si="2"/>
        <v>115</v>
      </c>
      <c r="H311" s="202">
        <f t="shared" si="3"/>
        <v>0</v>
      </c>
    </row>
    <row r="312" spans="2:8">
      <c r="B312" s="549"/>
      <c r="C312" s="402">
        <v>966577</v>
      </c>
      <c r="D312" s="402" t="s">
        <v>409</v>
      </c>
      <c r="E312" s="402">
        <v>115</v>
      </c>
      <c r="F312" s="402"/>
      <c r="G312" s="402">
        <f t="shared" si="2"/>
        <v>115</v>
      </c>
      <c r="H312" s="202">
        <f t="shared" si="3"/>
        <v>0</v>
      </c>
    </row>
    <row r="313" spans="2:8">
      <c r="B313" s="549"/>
      <c r="C313" s="402">
        <v>699134</v>
      </c>
      <c r="D313" s="402" t="s">
        <v>394</v>
      </c>
      <c r="E313" s="541">
        <v>230</v>
      </c>
      <c r="F313" s="402"/>
      <c r="G313" s="541">
        <f>E313-(F313+F314)</f>
        <v>230</v>
      </c>
      <c r="H313" s="586">
        <f>(F314+F313)/E313</f>
        <v>0</v>
      </c>
    </row>
    <row r="314" spans="2:8">
      <c r="B314" s="549"/>
      <c r="C314" s="402">
        <v>959986</v>
      </c>
      <c r="D314" s="402" t="s">
        <v>213</v>
      </c>
      <c r="E314" s="543"/>
      <c r="F314" s="402"/>
      <c r="G314" s="543"/>
      <c r="H314" s="588"/>
    </row>
    <row r="315" spans="2:8">
      <c r="B315" s="549"/>
      <c r="C315" s="402">
        <v>959954</v>
      </c>
      <c r="D315" s="402" t="s">
        <v>403</v>
      </c>
      <c r="E315" s="402">
        <v>115</v>
      </c>
      <c r="F315" s="402"/>
      <c r="G315" s="404">
        <f t="shared" ref="G315" si="4">E315+F315</f>
        <v>115</v>
      </c>
      <c r="H315" s="202">
        <f t="shared" ref="H315" si="5">F315/E315</f>
        <v>0</v>
      </c>
    </row>
    <row r="316" spans="2:8">
      <c r="B316" s="549"/>
      <c r="C316" s="402">
        <v>967393</v>
      </c>
      <c r="D316" s="402" t="s">
        <v>214</v>
      </c>
      <c r="E316" s="541">
        <v>460</v>
      </c>
      <c r="F316" s="402"/>
      <c r="G316" s="541">
        <f>E316-(F316:F319)</f>
        <v>460</v>
      </c>
      <c r="H316" s="586">
        <f>F316:F319/E316</f>
        <v>0</v>
      </c>
    </row>
    <row r="317" spans="2:8">
      <c r="B317" s="549"/>
      <c r="C317" s="402">
        <v>924718</v>
      </c>
      <c r="D317" s="402" t="s">
        <v>399</v>
      </c>
      <c r="E317" s="542"/>
      <c r="F317" s="402"/>
      <c r="G317" s="542"/>
      <c r="H317" s="587"/>
    </row>
    <row r="318" spans="2:8">
      <c r="B318" s="549"/>
      <c r="C318" s="402">
        <v>959987</v>
      </c>
      <c r="D318" s="402" t="s">
        <v>412</v>
      </c>
      <c r="E318" s="542"/>
      <c r="F318" s="402"/>
      <c r="G318" s="542"/>
      <c r="H318" s="587"/>
    </row>
    <row r="319" spans="2:8">
      <c r="B319" s="549"/>
      <c r="C319" s="402">
        <v>962853</v>
      </c>
      <c r="D319" s="402" t="s">
        <v>440</v>
      </c>
      <c r="E319" s="543"/>
      <c r="F319" s="402"/>
      <c r="G319" s="543"/>
      <c r="H319" s="588"/>
    </row>
    <row r="320" spans="2:8">
      <c r="B320" s="549"/>
      <c r="C320" s="402">
        <v>968727</v>
      </c>
      <c r="D320" s="402" t="s">
        <v>413</v>
      </c>
      <c r="E320" s="402">
        <v>115</v>
      </c>
      <c r="F320" s="402"/>
      <c r="G320" s="404">
        <f t="shared" ref="G320" si="6">E320+F320</f>
        <v>115</v>
      </c>
      <c r="H320" s="202">
        <f t="shared" ref="H320" si="7">F320/E320</f>
        <v>0</v>
      </c>
    </row>
    <row r="321" spans="2:8">
      <c r="B321" s="549"/>
      <c r="C321" s="402">
        <v>966146</v>
      </c>
      <c r="D321" s="402" t="s">
        <v>441</v>
      </c>
      <c r="E321" s="541">
        <v>230</v>
      </c>
      <c r="F321" s="402"/>
      <c r="G321" s="541">
        <f>E321-(F321+F322)</f>
        <v>230</v>
      </c>
      <c r="H321" s="586">
        <f>(F322+F321)/E321</f>
        <v>0</v>
      </c>
    </row>
    <row r="322" spans="2:8">
      <c r="B322" s="549"/>
      <c r="C322" s="402">
        <v>701703</v>
      </c>
      <c r="D322" s="402" t="s">
        <v>408</v>
      </c>
      <c r="E322" s="543"/>
      <c r="F322" s="402"/>
      <c r="G322" s="543"/>
      <c r="H322" s="588"/>
    </row>
    <row r="323" spans="2:8">
      <c r="B323" s="549"/>
      <c r="C323" s="402">
        <v>701702</v>
      </c>
      <c r="D323" s="402" t="s">
        <v>263</v>
      </c>
      <c r="E323" s="541">
        <v>230</v>
      </c>
      <c r="F323" s="402"/>
      <c r="G323" s="541">
        <f>E323-(F323+F324)</f>
        <v>230</v>
      </c>
      <c r="H323" s="586">
        <f>(F324+F323)/E323</f>
        <v>0</v>
      </c>
    </row>
    <row r="324" spans="2:8">
      <c r="B324" s="549"/>
      <c r="C324" s="402">
        <v>968833</v>
      </c>
      <c r="D324" s="402" t="s">
        <v>262</v>
      </c>
      <c r="E324" s="543"/>
      <c r="F324" s="402"/>
      <c r="G324" s="543"/>
      <c r="H324" s="588"/>
    </row>
    <row r="325" spans="2:8">
      <c r="B325" s="549"/>
      <c r="C325" s="402">
        <v>969701</v>
      </c>
      <c r="D325" s="402" t="s">
        <v>279</v>
      </c>
      <c r="E325" s="541">
        <v>230</v>
      </c>
      <c r="F325" s="402"/>
      <c r="G325" s="541">
        <f>E325-(F325+F326)</f>
        <v>230</v>
      </c>
      <c r="H325" s="586">
        <f>(F326+F325)/E325</f>
        <v>0</v>
      </c>
    </row>
    <row r="326" spans="2:8">
      <c r="B326" s="549"/>
      <c r="C326" s="402">
        <v>967342</v>
      </c>
      <c r="D326" s="402" t="s">
        <v>280</v>
      </c>
      <c r="E326" s="543"/>
      <c r="F326" s="402"/>
      <c r="G326" s="543"/>
      <c r="H326" s="588"/>
    </row>
    <row r="327" spans="2:8">
      <c r="B327" s="549"/>
      <c r="C327" s="402">
        <v>968423</v>
      </c>
      <c r="D327" s="402" t="s">
        <v>442</v>
      </c>
      <c r="E327" s="402">
        <v>115</v>
      </c>
      <c r="F327" s="402"/>
      <c r="G327" s="404">
        <f t="shared" ref="G327" si="8">E327+F327</f>
        <v>115</v>
      </c>
      <c r="H327" s="202">
        <f t="shared" ref="H327" si="9">F327/E327</f>
        <v>0</v>
      </c>
    </row>
    <row r="328" spans="2:8">
      <c r="B328" s="541">
        <v>1433</v>
      </c>
      <c r="C328" s="402">
        <v>959209</v>
      </c>
      <c r="D328" s="402" t="s">
        <v>443</v>
      </c>
      <c r="E328" s="541">
        <v>525</v>
      </c>
      <c r="F328" s="402"/>
      <c r="G328" s="541">
        <f>E328-(F328:F332)</f>
        <v>525</v>
      </c>
      <c r="H328" s="586">
        <f>(F328:F332)/E328</f>
        <v>0</v>
      </c>
    </row>
    <row r="329" spans="2:8">
      <c r="B329" s="542"/>
      <c r="C329" s="402">
        <v>968857</v>
      </c>
      <c r="D329" s="402" t="s">
        <v>444</v>
      </c>
      <c r="E329" s="542"/>
      <c r="F329" s="402"/>
      <c r="G329" s="542"/>
      <c r="H329" s="587"/>
    </row>
    <row r="330" spans="2:8">
      <c r="B330" s="542"/>
      <c r="C330" s="402">
        <v>697454</v>
      </c>
      <c r="D330" s="402" t="s">
        <v>445</v>
      </c>
      <c r="E330" s="542"/>
      <c r="F330" s="402"/>
      <c r="G330" s="542"/>
      <c r="H330" s="587"/>
    </row>
    <row r="331" spans="2:8">
      <c r="B331" s="542"/>
      <c r="C331" s="402">
        <v>701000</v>
      </c>
      <c r="D331" s="402" t="s">
        <v>446</v>
      </c>
      <c r="E331" s="542"/>
      <c r="F331" s="402"/>
      <c r="G331" s="542"/>
      <c r="H331" s="587"/>
    </row>
    <row r="332" spans="2:8">
      <c r="B332" s="542"/>
      <c r="C332" s="402">
        <v>702091</v>
      </c>
      <c r="D332" s="402" t="s">
        <v>447</v>
      </c>
      <c r="E332" s="543"/>
      <c r="F332" s="402"/>
      <c r="G332" s="543"/>
      <c r="H332" s="588"/>
    </row>
    <row r="333" spans="2:8">
      <c r="B333" s="542"/>
      <c r="C333" s="402">
        <v>926064</v>
      </c>
      <c r="D333" s="402" t="s">
        <v>323</v>
      </c>
      <c r="E333" s="541">
        <v>315</v>
      </c>
      <c r="F333" s="402"/>
      <c r="G333" s="541">
        <f>E333-(F333+F334+F335)</f>
        <v>315</v>
      </c>
      <c r="H333" s="586">
        <f>(F333+F334+F335)/E333</f>
        <v>0</v>
      </c>
    </row>
    <row r="334" spans="2:8">
      <c r="B334" s="542"/>
      <c r="C334" s="402">
        <v>702173</v>
      </c>
      <c r="D334" s="402" t="s">
        <v>448</v>
      </c>
      <c r="E334" s="542"/>
      <c r="F334" s="402"/>
      <c r="G334" s="542"/>
      <c r="H334" s="587"/>
    </row>
    <row r="335" spans="2:8">
      <c r="B335" s="542"/>
      <c r="C335" s="402">
        <v>702148</v>
      </c>
      <c r="D335" s="402" t="s">
        <v>449</v>
      </c>
      <c r="E335" s="543"/>
      <c r="F335" s="402"/>
      <c r="G335" s="543"/>
      <c r="H335" s="588"/>
    </row>
    <row r="336" spans="2:8">
      <c r="B336" s="542"/>
      <c r="C336" s="402">
        <v>968423</v>
      </c>
      <c r="D336" s="402" t="s">
        <v>430</v>
      </c>
      <c r="E336" s="541">
        <v>315</v>
      </c>
      <c r="F336" s="402"/>
      <c r="G336" s="541">
        <f>E336-(F336+F337+F338)</f>
        <v>315</v>
      </c>
      <c r="H336" s="586">
        <f>(F336+F337+F338)/E336</f>
        <v>0</v>
      </c>
    </row>
    <row r="337" spans="2:8">
      <c r="B337" s="542"/>
      <c r="C337" s="402">
        <v>698133</v>
      </c>
      <c r="D337" s="402" t="s">
        <v>450</v>
      </c>
      <c r="E337" s="542"/>
      <c r="F337" s="402"/>
      <c r="G337" s="542"/>
      <c r="H337" s="587"/>
    </row>
    <row r="338" spans="2:8">
      <c r="B338" s="542"/>
      <c r="C338" s="402">
        <v>967692</v>
      </c>
      <c r="D338" s="402" t="s">
        <v>451</v>
      </c>
      <c r="E338" s="543"/>
      <c r="F338" s="402"/>
      <c r="G338" s="543"/>
      <c r="H338" s="588"/>
    </row>
    <row r="339" spans="2:8">
      <c r="B339" s="542"/>
      <c r="C339" s="402">
        <v>964980</v>
      </c>
      <c r="D339" s="402" t="s">
        <v>452</v>
      </c>
      <c r="E339" s="541">
        <v>210</v>
      </c>
      <c r="F339" s="402"/>
      <c r="G339" s="541">
        <f>E339-(F339+F340)</f>
        <v>210</v>
      </c>
      <c r="H339" s="586">
        <f>(F340+F339)/E339</f>
        <v>0</v>
      </c>
    </row>
    <row r="340" spans="2:8">
      <c r="B340" s="542"/>
      <c r="C340" s="402">
        <v>698447</v>
      </c>
      <c r="D340" s="402" t="s">
        <v>453</v>
      </c>
      <c r="E340" s="543"/>
      <c r="F340" s="402"/>
      <c r="G340" s="543"/>
      <c r="H340" s="588"/>
    </row>
    <row r="341" spans="2:8">
      <c r="B341" s="542"/>
      <c r="C341" s="402">
        <v>910612</v>
      </c>
      <c r="D341" s="402" t="s">
        <v>454</v>
      </c>
      <c r="E341" s="541">
        <v>315</v>
      </c>
      <c r="F341" s="402"/>
      <c r="G341" s="541">
        <f>E341-(F341+F342+F343)</f>
        <v>315</v>
      </c>
      <c r="H341" s="586">
        <f>(F341+F342+F343)/E341</f>
        <v>0</v>
      </c>
    </row>
    <row r="342" spans="2:8">
      <c r="B342" s="542"/>
      <c r="C342" s="402">
        <v>701640</v>
      </c>
      <c r="D342" s="402" t="s">
        <v>455</v>
      </c>
      <c r="E342" s="542"/>
      <c r="F342" s="402"/>
      <c r="G342" s="542"/>
      <c r="H342" s="587"/>
    </row>
    <row r="343" spans="2:8">
      <c r="B343" s="543"/>
      <c r="C343" s="402">
        <v>698990</v>
      </c>
      <c r="D343" s="402" t="s">
        <v>456</v>
      </c>
      <c r="E343" s="543"/>
      <c r="F343" s="402"/>
      <c r="G343" s="543"/>
      <c r="H343" s="588"/>
    </row>
    <row r="344" spans="2:8">
      <c r="B344" s="541">
        <v>1434</v>
      </c>
      <c r="C344" s="402">
        <v>954793</v>
      </c>
      <c r="D344" s="402" t="s">
        <v>457</v>
      </c>
      <c r="E344" s="402">
        <v>105</v>
      </c>
      <c r="F344" s="402"/>
      <c r="G344" s="404">
        <f t="shared" ref="G344" si="10">E344+F344</f>
        <v>105</v>
      </c>
      <c r="H344" s="202">
        <f t="shared" ref="H344" si="11">F344/E344</f>
        <v>0</v>
      </c>
    </row>
    <row r="345" spans="2:8">
      <c r="B345" s="542"/>
      <c r="C345" s="402">
        <v>955511</v>
      </c>
      <c r="D345" s="402" t="s">
        <v>458</v>
      </c>
      <c r="E345" s="402">
        <v>52</v>
      </c>
      <c r="F345" s="402"/>
      <c r="G345" s="404">
        <f t="shared" ref="G345:G360" si="12">E345+F345</f>
        <v>52</v>
      </c>
      <c r="H345" s="202">
        <f t="shared" ref="H345:H360" si="13">F345/E345</f>
        <v>0</v>
      </c>
    </row>
    <row r="346" spans="2:8">
      <c r="B346" s="542"/>
      <c r="C346" s="402">
        <v>969685</v>
      </c>
      <c r="D346" s="402" t="s">
        <v>459</v>
      </c>
      <c r="E346" s="402">
        <v>105</v>
      </c>
      <c r="F346" s="402"/>
      <c r="G346" s="404">
        <f t="shared" si="12"/>
        <v>105</v>
      </c>
      <c r="H346" s="202">
        <f t="shared" si="13"/>
        <v>0</v>
      </c>
    </row>
    <row r="347" spans="2:8">
      <c r="B347" s="542"/>
      <c r="C347" s="402">
        <v>699725</v>
      </c>
      <c r="D347" s="402" t="s">
        <v>460</v>
      </c>
      <c r="E347" s="402">
        <v>105</v>
      </c>
      <c r="F347" s="402"/>
      <c r="G347" s="404">
        <f t="shared" si="12"/>
        <v>105</v>
      </c>
      <c r="H347" s="202">
        <f t="shared" si="13"/>
        <v>0</v>
      </c>
    </row>
    <row r="348" spans="2:8">
      <c r="B348" s="542"/>
      <c r="C348" s="402">
        <v>953756</v>
      </c>
      <c r="D348" s="402" t="s">
        <v>461</v>
      </c>
      <c r="E348" s="402">
        <v>105</v>
      </c>
      <c r="F348" s="402"/>
      <c r="G348" s="404">
        <f t="shared" si="12"/>
        <v>105</v>
      </c>
      <c r="H348" s="202">
        <f t="shared" si="13"/>
        <v>0</v>
      </c>
    </row>
    <row r="349" spans="2:8">
      <c r="B349" s="542"/>
      <c r="C349" s="402">
        <v>950918</v>
      </c>
      <c r="D349" s="402" t="s">
        <v>462</v>
      </c>
      <c r="E349" s="402">
        <v>105</v>
      </c>
      <c r="F349" s="402"/>
      <c r="G349" s="404">
        <f t="shared" si="12"/>
        <v>105</v>
      </c>
      <c r="H349" s="202">
        <f t="shared" si="13"/>
        <v>0</v>
      </c>
    </row>
    <row r="350" spans="2:8">
      <c r="B350" s="542"/>
      <c r="C350" s="402">
        <v>701654</v>
      </c>
      <c r="D350" s="402" t="s">
        <v>463</v>
      </c>
      <c r="E350" s="402">
        <v>105</v>
      </c>
      <c r="F350" s="402"/>
      <c r="G350" s="404">
        <f t="shared" si="12"/>
        <v>105</v>
      </c>
      <c r="H350" s="202">
        <f t="shared" si="13"/>
        <v>0</v>
      </c>
    </row>
    <row r="351" spans="2:8">
      <c r="B351" s="542"/>
      <c r="C351" s="402">
        <v>6485</v>
      </c>
      <c r="D351" s="402" t="s">
        <v>464</v>
      </c>
      <c r="E351" s="402">
        <v>105</v>
      </c>
      <c r="F351" s="402"/>
      <c r="G351" s="404">
        <f t="shared" si="12"/>
        <v>105</v>
      </c>
      <c r="H351" s="202">
        <f t="shared" si="13"/>
        <v>0</v>
      </c>
    </row>
    <row r="352" spans="2:8">
      <c r="B352" s="542"/>
      <c r="C352" s="402">
        <v>701682</v>
      </c>
      <c r="D352" s="402" t="s">
        <v>465</v>
      </c>
      <c r="E352" s="402">
        <v>105</v>
      </c>
      <c r="F352" s="402"/>
      <c r="G352" s="404">
        <f>E352+F352</f>
        <v>105</v>
      </c>
      <c r="H352" s="202">
        <f t="shared" si="13"/>
        <v>0</v>
      </c>
    </row>
    <row r="353" spans="2:8">
      <c r="B353" s="542"/>
      <c r="C353" s="402">
        <v>968588</v>
      </c>
      <c r="D353" s="402" t="s">
        <v>336</v>
      </c>
      <c r="E353" s="402">
        <v>105</v>
      </c>
      <c r="F353" s="402"/>
      <c r="G353" s="404">
        <f t="shared" si="12"/>
        <v>105</v>
      </c>
      <c r="H353" s="202">
        <f t="shared" si="13"/>
        <v>0</v>
      </c>
    </row>
    <row r="354" spans="2:8">
      <c r="B354" s="542"/>
      <c r="C354" s="402">
        <v>702364</v>
      </c>
      <c r="D354" s="402" t="s">
        <v>466</v>
      </c>
      <c r="E354" s="402">
        <v>105</v>
      </c>
      <c r="F354" s="402"/>
      <c r="G354" s="404">
        <f t="shared" si="12"/>
        <v>105</v>
      </c>
      <c r="H354" s="202">
        <f t="shared" si="13"/>
        <v>0</v>
      </c>
    </row>
    <row r="355" spans="2:8">
      <c r="B355" s="542"/>
      <c r="C355" s="402">
        <v>960670</v>
      </c>
      <c r="D355" s="357" t="s">
        <v>472</v>
      </c>
      <c r="E355" s="402">
        <v>105</v>
      </c>
      <c r="F355" s="402"/>
      <c r="G355" s="404">
        <f t="shared" si="12"/>
        <v>105</v>
      </c>
      <c r="H355" s="202">
        <f t="shared" si="13"/>
        <v>0</v>
      </c>
    </row>
    <row r="356" spans="2:8">
      <c r="B356" s="542"/>
      <c r="C356" s="402">
        <v>700897</v>
      </c>
      <c r="D356" s="404" t="s">
        <v>471</v>
      </c>
      <c r="E356" s="402">
        <v>105</v>
      </c>
      <c r="F356" s="402"/>
      <c r="G356" s="404">
        <f t="shared" si="12"/>
        <v>105</v>
      </c>
      <c r="H356" s="202">
        <f t="shared" si="13"/>
        <v>0</v>
      </c>
    </row>
    <row r="357" spans="2:8">
      <c r="B357" s="542"/>
      <c r="C357" s="402">
        <v>702007</v>
      </c>
      <c r="D357" s="402" t="s">
        <v>467</v>
      </c>
      <c r="E357" s="402">
        <v>105</v>
      </c>
      <c r="F357" s="402"/>
      <c r="G357" s="404">
        <f t="shared" si="12"/>
        <v>105</v>
      </c>
      <c r="H357" s="202">
        <f t="shared" si="13"/>
        <v>0</v>
      </c>
    </row>
    <row r="358" spans="2:8">
      <c r="B358" s="542"/>
      <c r="C358" s="402">
        <v>964753</v>
      </c>
      <c r="D358" s="402" t="s">
        <v>468</v>
      </c>
      <c r="E358" s="402">
        <v>52</v>
      </c>
      <c r="F358" s="402"/>
      <c r="G358" s="404">
        <f t="shared" si="12"/>
        <v>52</v>
      </c>
      <c r="H358" s="202">
        <f t="shared" si="13"/>
        <v>0</v>
      </c>
    </row>
    <row r="359" spans="2:8">
      <c r="B359" s="542"/>
      <c r="C359" s="402">
        <v>922483</v>
      </c>
      <c r="D359" s="402" t="s">
        <v>469</v>
      </c>
      <c r="E359" s="402">
        <v>105</v>
      </c>
      <c r="F359" s="402"/>
      <c r="G359" s="404">
        <f t="shared" si="12"/>
        <v>105</v>
      </c>
      <c r="H359" s="202">
        <f t="shared" si="13"/>
        <v>0</v>
      </c>
    </row>
    <row r="360" spans="2:8">
      <c r="B360" s="543"/>
      <c r="C360" s="402">
        <v>700926</v>
      </c>
      <c r="D360" s="402" t="s">
        <v>470</v>
      </c>
      <c r="E360" s="402">
        <v>105</v>
      </c>
      <c r="F360" s="402"/>
      <c r="G360" s="404">
        <f t="shared" si="12"/>
        <v>105</v>
      </c>
      <c r="H360" s="202">
        <f t="shared" si="13"/>
        <v>0</v>
      </c>
    </row>
    <row r="361" spans="2:8">
      <c r="B361" s="541">
        <v>1435</v>
      </c>
      <c r="C361" s="402">
        <v>968274</v>
      </c>
      <c r="D361" s="402" t="s">
        <v>325</v>
      </c>
      <c r="E361" s="541">
        <v>400</v>
      </c>
      <c r="F361" s="402"/>
      <c r="G361" s="541">
        <f>E361-(F361+F362+F363+ F364+F365)</f>
        <v>400</v>
      </c>
      <c r="H361" s="586">
        <f>(F361:F365)/E361</f>
        <v>0</v>
      </c>
    </row>
    <row r="362" spans="2:8">
      <c r="B362" s="542"/>
      <c r="C362" s="402">
        <v>699329</v>
      </c>
      <c r="D362" s="402" t="s">
        <v>326</v>
      </c>
      <c r="E362" s="542"/>
      <c r="F362" s="402"/>
      <c r="G362" s="542"/>
      <c r="H362" s="587"/>
    </row>
    <row r="363" spans="2:8">
      <c r="B363" s="542"/>
      <c r="C363" s="402">
        <v>967544</v>
      </c>
      <c r="D363" s="402" t="s">
        <v>327</v>
      </c>
      <c r="E363" s="542"/>
      <c r="F363" s="402"/>
      <c r="G363" s="542"/>
      <c r="H363" s="587"/>
    </row>
    <row r="364" spans="2:8">
      <c r="B364" s="542"/>
      <c r="C364" s="402">
        <v>701438</v>
      </c>
      <c r="D364" s="402" t="s">
        <v>328</v>
      </c>
      <c r="E364" s="542"/>
      <c r="F364" s="402"/>
      <c r="G364" s="542"/>
      <c r="H364" s="587"/>
    </row>
    <row r="365" spans="2:8">
      <c r="B365" s="543"/>
      <c r="C365" s="402">
        <v>700798</v>
      </c>
      <c r="D365" s="402" t="s">
        <v>329</v>
      </c>
      <c r="E365" s="543"/>
      <c r="F365" s="402"/>
      <c r="G365" s="543"/>
      <c r="H365" s="588"/>
    </row>
    <row r="366" spans="2:8">
      <c r="B366" s="541">
        <v>1436</v>
      </c>
      <c r="C366" s="402">
        <v>701740</v>
      </c>
      <c r="D366" s="402" t="s">
        <v>318</v>
      </c>
      <c r="E366" s="541">
        <v>150</v>
      </c>
      <c r="F366" s="402"/>
      <c r="G366" s="406"/>
      <c r="H366" s="406"/>
    </row>
    <row r="367" spans="2:8">
      <c r="B367" s="542"/>
      <c r="C367" s="402">
        <v>699260</v>
      </c>
      <c r="D367" s="402" t="s">
        <v>317</v>
      </c>
      <c r="E367" s="542"/>
      <c r="F367" s="402"/>
      <c r="G367" s="407"/>
      <c r="H367" s="407"/>
    </row>
    <row r="368" spans="2:8">
      <c r="B368" s="542"/>
      <c r="C368" s="402">
        <v>969710</v>
      </c>
      <c r="D368" s="402" t="s">
        <v>319</v>
      </c>
      <c r="E368" s="542"/>
      <c r="F368" s="402"/>
      <c r="G368" s="407"/>
      <c r="H368" s="407"/>
    </row>
    <row r="369" spans="2:9">
      <c r="B369" s="543"/>
      <c r="C369" s="402">
        <v>702453</v>
      </c>
      <c r="D369" s="402" t="s">
        <v>474</v>
      </c>
      <c r="E369" s="543"/>
      <c r="F369" s="402"/>
      <c r="G369" s="408"/>
      <c r="H369" s="408"/>
    </row>
    <row r="370" spans="2:9">
      <c r="B370" s="549">
        <v>1518</v>
      </c>
      <c r="C370" s="402">
        <v>697270</v>
      </c>
      <c r="D370" s="402" t="s">
        <v>219</v>
      </c>
      <c r="E370" s="541">
        <v>3000</v>
      </c>
      <c r="F370" s="402"/>
      <c r="G370" s="541">
        <f>E370-I370</f>
        <v>3000</v>
      </c>
      <c r="H370" s="586">
        <f>I370/E370</f>
        <v>0</v>
      </c>
      <c r="I370" s="413">
        <f>SUM(F370:F400)</f>
        <v>0</v>
      </c>
    </row>
    <row r="371" spans="2:9">
      <c r="B371" s="549"/>
      <c r="C371" s="402">
        <v>968468</v>
      </c>
      <c r="D371" s="402" t="s">
        <v>218</v>
      </c>
      <c r="E371" s="542"/>
      <c r="F371" s="402"/>
      <c r="G371" s="542"/>
      <c r="H371" s="587"/>
    </row>
    <row r="372" spans="2:9">
      <c r="B372" s="549"/>
      <c r="C372" s="402">
        <v>700496</v>
      </c>
      <c r="D372" s="402" t="s">
        <v>217</v>
      </c>
      <c r="E372" s="542"/>
      <c r="F372" s="402"/>
      <c r="G372" s="542"/>
      <c r="H372" s="587"/>
    </row>
    <row r="373" spans="2:9">
      <c r="B373" s="549"/>
      <c r="C373" s="402">
        <v>701560</v>
      </c>
      <c r="D373" s="402" t="s">
        <v>216</v>
      </c>
      <c r="E373" s="542"/>
      <c r="F373" s="402"/>
      <c r="G373" s="542"/>
      <c r="H373" s="587"/>
    </row>
    <row r="374" spans="2:9">
      <c r="B374" s="549"/>
      <c r="C374" s="402">
        <v>963744</v>
      </c>
      <c r="D374" s="402" t="s">
        <v>215</v>
      </c>
      <c r="E374" s="542"/>
      <c r="F374" s="402"/>
      <c r="G374" s="542"/>
      <c r="H374" s="587"/>
    </row>
    <row r="375" spans="2:9">
      <c r="B375" s="549"/>
      <c r="C375" s="402">
        <v>700289</v>
      </c>
      <c r="D375" s="402" t="s">
        <v>220</v>
      </c>
      <c r="E375" s="542"/>
      <c r="F375" s="402"/>
      <c r="G375" s="542"/>
      <c r="H375" s="587"/>
    </row>
    <row r="376" spans="2:9">
      <c r="B376" s="549"/>
      <c r="C376" s="402">
        <v>969394</v>
      </c>
      <c r="D376" s="402" t="s">
        <v>221</v>
      </c>
      <c r="E376" s="542"/>
      <c r="F376" s="402"/>
      <c r="G376" s="542"/>
      <c r="H376" s="587"/>
    </row>
    <row r="377" spans="2:9">
      <c r="B377" s="549"/>
      <c r="C377" s="402">
        <v>701030</v>
      </c>
      <c r="D377" s="402" t="s">
        <v>476</v>
      </c>
      <c r="E377" s="542"/>
      <c r="F377" s="402"/>
      <c r="G377" s="542"/>
      <c r="H377" s="587"/>
    </row>
    <row r="378" spans="2:9">
      <c r="B378" s="549"/>
      <c r="C378" s="402">
        <v>699245</v>
      </c>
      <c r="D378" s="402" t="s">
        <v>223</v>
      </c>
      <c r="E378" s="542"/>
      <c r="F378" s="402"/>
      <c r="G378" s="542"/>
      <c r="H378" s="587"/>
    </row>
    <row r="379" spans="2:9">
      <c r="B379" s="549"/>
      <c r="C379" s="402">
        <v>960352</v>
      </c>
      <c r="D379" s="402" t="s">
        <v>224</v>
      </c>
      <c r="E379" s="542"/>
      <c r="F379" s="402"/>
      <c r="G379" s="542"/>
      <c r="H379" s="587"/>
    </row>
    <row r="380" spans="2:9">
      <c r="B380" s="549"/>
      <c r="C380" s="402">
        <v>951110</v>
      </c>
      <c r="D380" s="402" t="s">
        <v>225</v>
      </c>
      <c r="E380" s="542"/>
      <c r="F380" s="402"/>
      <c r="G380" s="542"/>
      <c r="H380" s="587"/>
    </row>
    <row r="381" spans="2:9">
      <c r="B381" s="549"/>
      <c r="C381" s="402">
        <v>968796</v>
      </c>
      <c r="D381" s="402" t="s">
        <v>226</v>
      </c>
      <c r="E381" s="542"/>
      <c r="F381" s="402"/>
      <c r="G381" s="542"/>
      <c r="H381" s="587"/>
    </row>
    <row r="382" spans="2:9">
      <c r="B382" s="549"/>
      <c r="C382" s="402">
        <v>701484</v>
      </c>
      <c r="D382" s="402" t="s">
        <v>227</v>
      </c>
      <c r="E382" s="542"/>
      <c r="F382" s="402"/>
      <c r="G382" s="542"/>
      <c r="H382" s="587"/>
    </row>
    <row r="383" spans="2:9">
      <c r="B383" s="549"/>
      <c r="C383" s="402">
        <v>969269</v>
      </c>
      <c r="D383" s="402" t="s">
        <v>229</v>
      </c>
      <c r="E383" s="542"/>
      <c r="F383" s="402"/>
      <c r="G383" s="542"/>
      <c r="H383" s="587"/>
    </row>
    <row r="384" spans="2:9">
      <c r="B384" s="549"/>
      <c r="C384" s="402">
        <v>701659</v>
      </c>
      <c r="D384" s="402" t="s">
        <v>228</v>
      </c>
      <c r="E384" s="542"/>
      <c r="F384" s="402"/>
      <c r="G384" s="542"/>
      <c r="H384" s="587"/>
    </row>
    <row r="385" spans="2:8">
      <c r="B385" s="549"/>
      <c r="C385" s="402">
        <v>963710</v>
      </c>
      <c r="D385" s="402" t="s">
        <v>230</v>
      </c>
      <c r="E385" s="542"/>
      <c r="F385" s="402"/>
      <c r="G385" s="542"/>
      <c r="H385" s="587"/>
    </row>
    <row r="386" spans="2:8">
      <c r="B386" s="549"/>
      <c r="C386" s="402">
        <v>698955</v>
      </c>
      <c r="D386" s="402" t="s">
        <v>231</v>
      </c>
      <c r="E386" s="542"/>
      <c r="F386" s="402"/>
      <c r="G386" s="542"/>
      <c r="H386" s="587"/>
    </row>
    <row r="387" spans="2:8">
      <c r="B387" s="549"/>
      <c r="C387" s="402">
        <v>953967</v>
      </c>
      <c r="D387" s="402" t="s">
        <v>233</v>
      </c>
      <c r="E387" s="542"/>
      <c r="F387" s="402"/>
      <c r="G387" s="542"/>
      <c r="H387" s="587"/>
    </row>
    <row r="388" spans="2:8">
      <c r="B388" s="549"/>
      <c r="C388" s="402">
        <v>697575</v>
      </c>
      <c r="D388" s="402" t="s">
        <v>234</v>
      </c>
      <c r="E388" s="542"/>
      <c r="F388" s="402"/>
      <c r="G388" s="542"/>
      <c r="H388" s="587"/>
    </row>
    <row r="389" spans="2:8">
      <c r="B389" s="549"/>
      <c r="C389" s="402">
        <v>968467</v>
      </c>
      <c r="D389" s="402" t="s">
        <v>235</v>
      </c>
      <c r="E389" s="542"/>
      <c r="F389" s="402"/>
      <c r="G389" s="542"/>
      <c r="H389" s="587"/>
    </row>
    <row r="390" spans="2:8">
      <c r="B390" s="549"/>
      <c r="C390" s="402">
        <v>955847</v>
      </c>
      <c r="D390" s="402" t="s">
        <v>246</v>
      </c>
      <c r="E390" s="542"/>
      <c r="F390" s="402"/>
      <c r="G390" s="542"/>
      <c r="H390" s="587"/>
    </row>
    <row r="391" spans="2:8">
      <c r="B391" s="549"/>
      <c r="C391" s="402">
        <v>921881</v>
      </c>
      <c r="D391" s="402" t="s">
        <v>245</v>
      </c>
      <c r="E391" s="542"/>
      <c r="F391" s="402"/>
      <c r="G391" s="542"/>
      <c r="H391" s="587"/>
    </row>
    <row r="392" spans="2:8">
      <c r="B392" s="549"/>
      <c r="C392" s="402">
        <v>699495</v>
      </c>
      <c r="D392" s="402" t="s">
        <v>236</v>
      </c>
      <c r="E392" s="542"/>
      <c r="F392" s="402"/>
      <c r="G392" s="542"/>
      <c r="H392" s="587"/>
    </row>
    <row r="393" spans="2:8">
      <c r="B393" s="549"/>
      <c r="C393" s="402">
        <v>702452</v>
      </c>
      <c r="D393" s="402" t="s">
        <v>477</v>
      </c>
      <c r="E393" s="542"/>
      <c r="F393" s="402"/>
      <c r="G393" s="542"/>
      <c r="H393" s="587"/>
    </row>
    <row r="394" spans="2:8">
      <c r="B394" s="549"/>
      <c r="C394" s="402">
        <v>965905</v>
      </c>
      <c r="D394" s="402" t="s">
        <v>238</v>
      </c>
      <c r="E394" s="542"/>
      <c r="F394" s="402"/>
      <c r="G394" s="542"/>
      <c r="H394" s="587"/>
    </row>
    <row r="395" spans="2:8">
      <c r="B395" s="549"/>
      <c r="C395" s="402">
        <v>969691</v>
      </c>
      <c r="D395" s="402" t="s">
        <v>239</v>
      </c>
      <c r="E395" s="542"/>
      <c r="F395" s="402"/>
      <c r="G395" s="542"/>
      <c r="H395" s="587"/>
    </row>
    <row r="396" spans="2:8">
      <c r="B396" s="549"/>
      <c r="C396" s="402">
        <v>96700</v>
      </c>
      <c r="D396" s="402" t="s">
        <v>241</v>
      </c>
      <c r="E396" s="542"/>
      <c r="F396" s="402"/>
      <c r="G396" s="542"/>
      <c r="H396" s="587"/>
    </row>
    <row r="397" spans="2:8">
      <c r="B397" s="549"/>
      <c r="C397" s="402">
        <v>951184</v>
      </c>
      <c r="D397" s="402" t="s">
        <v>240</v>
      </c>
      <c r="E397" s="542"/>
      <c r="F397" s="402"/>
      <c r="G397" s="542"/>
      <c r="H397" s="587"/>
    </row>
    <row r="398" spans="2:8">
      <c r="B398" s="549"/>
      <c r="C398" s="418">
        <v>955947</v>
      </c>
      <c r="D398" s="418" t="s">
        <v>478</v>
      </c>
      <c r="E398" s="542"/>
      <c r="F398" s="418"/>
      <c r="G398" s="542"/>
      <c r="H398" s="587"/>
    </row>
    <row r="399" spans="2:8">
      <c r="B399" s="549"/>
      <c r="C399" s="418">
        <v>701277</v>
      </c>
      <c r="D399" s="418" t="s">
        <v>243</v>
      </c>
      <c r="E399" s="542"/>
      <c r="F399" s="418"/>
      <c r="G399" s="542"/>
      <c r="H399" s="587"/>
    </row>
    <row r="400" spans="2:8">
      <c r="B400" s="549"/>
      <c r="C400" s="418">
        <v>699343</v>
      </c>
      <c r="D400" s="418" t="s">
        <v>244</v>
      </c>
      <c r="E400" s="543"/>
      <c r="F400" s="418"/>
      <c r="G400" s="543"/>
      <c r="H400" s="588"/>
    </row>
  </sheetData>
  <autoFilter ref="B5:H400"/>
  <sortState ref="C6:D15">
    <sortCondition ref="D6:D15"/>
  </sortState>
  <mergeCells count="113">
    <mergeCell ref="B114:B115"/>
    <mergeCell ref="E114:E115"/>
    <mergeCell ref="G114:G115"/>
    <mergeCell ref="H114:H115"/>
    <mergeCell ref="E145:E149"/>
    <mergeCell ref="G145:G149"/>
    <mergeCell ref="H145:H149"/>
    <mergeCell ref="E116:E143"/>
    <mergeCell ref="G116:G143"/>
    <mergeCell ref="H116:H143"/>
    <mergeCell ref="B116:B143"/>
    <mergeCell ref="B145:B149"/>
    <mergeCell ref="B48:B76"/>
    <mergeCell ref="B16:B47"/>
    <mergeCell ref="B6:B15"/>
    <mergeCell ref="B110:B113"/>
    <mergeCell ref="B77:B109"/>
    <mergeCell ref="B2:H2"/>
    <mergeCell ref="B3:H3"/>
    <mergeCell ref="B4:H4"/>
    <mergeCell ref="E16:E47"/>
    <mergeCell ref="G16:G47"/>
    <mergeCell ref="H16:H47"/>
    <mergeCell ref="E48:E76"/>
    <mergeCell ref="G48:G76"/>
    <mergeCell ref="H48:H76"/>
    <mergeCell ref="E110:E113"/>
    <mergeCell ref="G110:G113"/>
    <mergeCell ref="H110:H113"/>
    <mergeCell ref="E77:E109"/>
    <mergeCell ref="G77:G109"/>
    <mergeCell ref="H77:H109"/>
    <mergeCell ref="B150:B151"/>
    <mergeCell ref="E150:E151"/>
    <mergeCell ref="G150:G151"/>
    <mergeCell ref="H150:H151"/>
    <mergeCell ref="B152:B156"/>
    <mergeCell ref="E152:E156"/>
    <mergeCell ref="G152:G156"/>
    <mergeCell ref="H152:H156"/>
    <mergeCell ref="E158:E162"/>
    <mergeCell ref="G158:G162"/>
    <mergeCell ref="H158:H162"/>
    <mergeCell ref="B158:B162"/>
    <mergeCell ref="B198:B212"/>
    <mergeCell ref="E198:E212"/>
    <mergeCell ref="G198:G212"/>
    <mergeCell ref="H198:H212"/>
    <mergeCell ref="B213:B228"/>
    <mergeCell ref="E213:E228"/>
    <mergeCell ref="G213:G228"/>
    <mergeCell ref="H213:H228"/>
    <mergeCell ref="B163:B197"/>
    <mergeCell ref="E163:E197"/>
    <mergeCell ref="G163:G197"/>
    <mergeCell ref="H163:H197"/>
    <mergeCell ref="H325:H326"/>
    <mergeCell ref="B262:B291"/>
    <mergeCell ref="E262:E291"/>
    <mergeCell ref="G262:G291"/>
    <mergeCell ref="H262:H291"/>
    <mergeCell ref="B229:B261"/>
    <mergeCell ref="E229:E261"/>
    <mergeCell ref="G229:G261"/>
    <mergeCell ref="H229:H261"/>
    <mergeCell ref="E333:E335"/>
    <mergeCell ref="G333:G335"/>
    <mergeCell ref="H333:H335"/>
    <mergeCell ref="B293:B327"/>
    <mergeCell ref="E293:E294"/>
    <mergeCell ref="G293:G294"/>
    <mergeCell ref="H293:H294"/>
    <mergeCell ref="E295:E297"/>
    <mergeCell ref="G295:G297"/>
    <mergeCell ref="H295:H297"/>
    <mergeCell ref="E313:E314"/>
    <mergeCell ref="E316:E319"/>
    <mergeCell ref="E321:E322"/>
    <mergeCell ref="E323:E324"/>
    <mergeCell ref="E325:E326"/>
    <mergeCell ref="G316:G319"/>
    <mergeCell ref="H316:H319"/>
    <mergeCell ref="G313:G314"/>
    <mergeCell ref="H313:H314"/>
    <mergeCell ref="G321:G322"/>
    <mergeCell ref="H321:H322"/>
    <mergeCell ref="G323:G324"/>
    <mergeCell ref="H323:H324"/>
    <mergeCell ref="G325:G326"/>
    <mergeCell ref="B370:B400"/>
    <mergeCell ref="E370:E400"/>
    <mergeCell ref="G370:G400"/>
    <mergeCell ref="H370:H400"/>
    <mergeCell ref="G328:G332"/>
    <mergeCell ref="H328:H332"/>
    <mergeCell ref="E366:E369"/>
    <mergeCell ref="B366:B369"/>
    <mergeCell ref="B344:B360"/>
    <mergeCell ref="E361:E365"/>
    <mergeCell ref="G361:G365"/>
    <mergeCell ref="H361:H365"/>
    <mergeCell ref="B361:B365"/>
    <mergeCell ref="H336:H338"/>
    <mergeCell ref="G339:G340"/>
    <mergeCell ref="H339:H340"/>
    <mergeCell ref="G341:G343"/>
    <mergeCell ref="H341:H343"/>
    <mergeCell ref="E336:E338"/>
    <mergeCell ref="E339:E340"/>
    <mergeCell ref="E341:E343"/>
    <mergeCell ref="B328:B343"/>
    <mergeCell ref="G336:G338"/>
    <mergeCell ref="E328:E332"/>
  </mergeCells>
  <conditionalFormatting sqref="H5">
    <cfRule type="dataBar" priority="1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{C4C0B44A-2C33-4433-A470-6459276DC740}</x14:id>
        </ext>
      </extLst>
    </cfRule>
  </conditionalFormatting>
  <conditionalFormatting sqref="Q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{D51371D0-1621-43B7-8A62-6F10B5B923F8}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0B44A-2C33-4433-A470-6459276DC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</xm:sqref>
        </x14:conditionalFormatting>
        <x14:conditionalFormatting xmlns:xm="http://schemas.microsoft.com/office/excel/2006/main">
          <x14:cfRule type="dataBar" id="{D51371D0-1621-43B7-8A62-6F10B5B923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Normal="100" workbookViewId="0">
      <selection activeCell="K154" sqref="K154"/>
    </sheetView>
  </sheetViews>
  <sheetFormatPr baseColWidth="10" defaultColWidth="11.42578125" defaultRowHeight="12"/>
  <cols>
    <col min="1" max="1" width="25.85546875" style="10" customWidth="1"/>
    <col min="2" max="2" width="16.5703125" style="10" customWidth="1"/>
    <col min="3" max="3" width="52.28515625" style="10" bestFit="1" customWidth="1"/>
    <col min="4" max="4" width="25.28515625" style="10" bestFit="1" customWidth="1"/>
    <col min="5" max="5" width="19.42578125" style="10" customWidth="1"/>
    <col min="6" max="6" width="18.28515625" style="10" customWidth="1"/>
    <col min="7" max="7" width="23.28515625" style="10" bestFit="1" customWidth="1"/>
    <col min="8" max="8" width="19.28515625" style="10" customWidth="1"/>
    <col min="9" max="9" width="12.5703125" style="10" bestFit="1" customWidth="1"/>
    <col min="10" max="10" width="13.140625" style="10" bestFit="1" customWidth="1"/>
    <col min="11" max="11" width="15.85546875" style="10" bestFit="1" customWidth="1"/>
    <col min="12" max="16384" width="11.42578125" style="10"/>
  </cols>
  <sheetData>
    <row r="1" spans="2:11" ht="12.75" thickBot="1"/>
    <row r="2" spans="2:11" ht="15.6" customHeight="1">
      <c r="B2" s="613" t="s">
        <v>191</v>
      </c>
      <c r="C2" s="614"/>
      <c r="D2" s="614"/>
      <c r="E2" s="614"/>
      <c r="F2" s="614"/>
      <c r="G2" s="614"/>
      <c r="H2" s="614"/>
      <c r="I2" s="614"/>
      <c r="J2" s="614"/>
      <c r="K2" s="615"/>
    </row>
    <row r="3" spans="2:11" ht="15" customHeight="1" thickBot="1">
      <c r="B3" s="616">
        <f>+RESUMEN!B3</f>
        <v>45481</v>
      </c>
      <c r="C3" s="617"/>
      <c r="D3" s="617"/>
      <c r="E3" s="617"/>
      <c r="F3" s="617"/>
      <c r="G3" s="617"/>
      <c r="H3" s="617"/>
      <c r="I3" s="617"/>
      <c r="J3" s="617"/>
      <c r="K3" s="618"/>
    </row>
    <row r="4" spans="2:11" ht="16.5" thickBot="1">
      <c r="B4" s="89"/>
      <c r="C4" s="619"/>
      <c r="D4" s="619"/>
      <c r="E4" s="619"/>
      <c r="F4" s="619"/>
      <c r="G4" s="619"/>
      <c r="H4" s="619"/>
      <c r="I4" s="89"/>
      <c r="J4" s="89"/>
      <c r="K4" s="89"/>
    </row>
    <row r="5" spans="2:11" ht="15.75">
      <c r="B5" s="89"/>
      <c r="C5" s="620" t="s">
        <v>127</v>
      </c>
      <c r="D5" s="621"/>
      <c r="E5" s="621"/>
      <c r="F5" s="621"/>
      <c r="G5" s="622"/>
      <c r="H5" s="89"/>
      <c r="I5" s="89"/>
      <c r="J5" s="89"/>
      <c r="K5" s="89"/>
    </row>
    <row r="6" spans="2:11" ht="15.75">
      <c r="B6" s="89"/>
      <c r="C6" s="92" t="s">
        <v>128</v>
      </c>
      <c r="D6" s="87" t="s">
        <v>77</v>
      </c>
      <c r="E6" s="88" t="s">
        <v>80</v>
      </c>
      <c r="F6" s="88" t="s">
        <v>81</v>
      </c>
      <c r="G6" s="93" t="s">
        <v>64</v>
      </c>
      <c r="H6" s="89"/>
      <c r="I6" s="89"/>
      <c r="J6" s="89"/>
      <c r="K6" s="89"/>
    </row>
    <row r="7" spans="2:11" ht="16.5" thickBot="1">
      <c r="B7" s="89"/>
      <c r="C7" s="94" t="s">
        <v>39</v>
      </c>
      <c r="D7" s="95">
        <v>8242</v>
      </c>
      <c r="E7" s="95">
        <f>E15</f>
        <v>7067.55</v>
      </c>
      <c r="F7" s="95">
        <f>D7-E7</f>
        <v>1174.4499999999998</v>
      </c>
      <c r="G7" s="96">
        <f>E7/D7</f>
        <v>0.85750424654210144</v>
      </c>
      <c r="H7" s="89"/>
      <c r="I7" s="89"/>
      <c r="J7" s="89"/>
      <c r="K7" s="89"/>
    </row>
    <row r="8" spans="2:11" ht="16.5" thickBot="1">
      <c r="B8" s="89"/>
      <c r="C8" s="89"/>
      <c r="D8" s="90"/>
      <c r="E8" s="90"/>
      <c r="F8" s="90"/>
      <c r="G8" s="91"/>
      <c r="H8" s="89"/>
      <c r="I8" s="89"/>
      <c r="J8" s="89"/>
      <c r="K8" s="89"/>
    </row>
    <row r="9" spans="2:11" ht="15.75">
      <c r="B9" s="89"/>
      <c r="C9" s="620" t="s">
        <v>178</v>
      </c>
      <c r="D9" s="621"/>
      <c r="E9" s="621"/>
      <c r="F9" s="621"/>
      <c r="G9" s="621"/>
      <c r="H9" s="622"/>
      <c r="I9" s="89"/>
      <c r="J9" s="89"/>
      <c r="K9" s="89"/>
    </row>
    <row r="10" spans="2:11" ht="15.75">
      <c r="B10" s="89"/>
      <c r="C10" s="92" t="s">
        <v>129</v>
      </c>
      <c r="D10" s="87" t="s">
        <v>77</v>
      </c>
      <c r="E10" s="87" t="s">
        <v>80</v>
      </c>
      <c r="F10" s="87" t="s">
        <v>81</v>
      </c>
      <c r="G10" s="87" t="s">
        <v>132</v>
      </c>
      <c r="H10" s="93" t="s">
        <v>133</v>
      </c>
      <c r="I10" s="89"/>
      <c r="J10" s="89"/>
      <c r="K10" s="89"/>
    </row>
    <row r="11" spans="2:11" ht="15.75">
      <c r="C11" s="203" t="s">
        <v>247</v>
      </c>
      <c r="D11" s="204">
        <f>G18+G19+G20+G21+G22+G33</f>
        <v>3049.54</v>
      </c>
      <c r="E11" s="204">
        <f>H18+H19+H20+H21+H22+H33</f>
        <v>2839.2849999999999</v>
      </c>
      <c r="F11" s="204">
        <f>D11-E11</f>
        <v>210.25500000000011</v>
      </c>
      <c r="G11" s="205">
        <f>E11/D11</f>
        <v>0.93105353594312579</v>
      </c>
      <c r="H11" s="206"/>
    </row>
    <row r="12" spans="2:11" ht="15.75">
      <c r="C12" s="203" t="s">
        <v>248</v>
      </c>
      <c r="D12" s="204">
        <f>G23+G24+G25+G26+G27+G28+G29+G30+G31+G32+G34+G35</f>
        <v>3214.380000000001</v>
      </c>
      <c r="E12" s="204">
        <f>H23+H24+H25+H26+H27+H28+H29+H30+H31+H32+H34+H35</f>
        <v>3210.018</v>
      </c>
      <c r="F12" s="204">
        <f>D12-E12</f>
        <v>4.3620000000009895</v>
      </c>
      <c r="G12" s="205">
        <f>E12/D12</f>
        <v>0.99864297313945427</v>
      </c>
      <c r="H12" s="206"/>
    </row>
    <row r="13" spans="2:11" ht="15.75">
      <c r="C13" s="203" t="s">
        <v>251</v>
      </c>
      <c r="D13" s="204">
        <f>G42+G43+G44+G45+G46+G47</f>
        <v>989.04000000000008</v>
      </c>
      <c r="E13" s="204">
        <f>H42+H43+H44+H45+H46+H47</f>
        <v>1007.787</v>
      </c>
      <c r="F13" s="204">
        <f>D13-E13</f>
        <v>-18.746999999999957</v>
      </c>
      <c r="G13" s="205">
        <f>E13/D13</f>
        <v>1.0189547439941762</v>
      </c>
      <c r="H13" s="206"/>
    </row>
    <row r="14" spans="2:11" ht="15.75">
      <c r="C14" s="203" t="s">
        <v>249</v>
      </c>
      <c r="D14" s="204">
        <f>G36+G37+G38+G39+G40+G41</f>
        <v>989.04000000000008</v>
      </c>
      <c r="E14" s="204">
        <f>H36+H37+H38+H39+H40+H41</f>
        <v>10.46</v>
      </c>
      <c r="F14" s="204">
        <f>D14-E14</f>
        <v>978.58</v>
      </c>
      <c r="G14" s="205">
        <f>E14/D14</f>
        <v>1.0575911995470356E-2</v>
      </c>
      <c r="H14" s="206"/>
    </row>
    <row r="15" spans="2:11" ht="16.5" thickBot="1">
      <c r="C15" s="94" t="s">
        <v>250</v>
      </c>
      <c r="D15" s="95">
        <f>SUM(D11:D14)</f>
        <v>8242.0000000000018</v>
      </c>
      <c r="E15" s="95">
        <f>SUM(E11:E14)</f>
        <v>7067.55</v>
      </c>
      <c r="F15" s="95">
        <f>D15-E15</f>
        <v>1174.4500000000016</v>
      </c>
      <c r="G15" s="207">
        <f>E15/D15</f>
        <v>0.85750424654210122</v>
      </c>
      <c r="H15" s="208"/>
    </row>
    <row r="16" spans="2:11" ht="12.75" thickBot="1"/>
    <row r="17" spans="2:11" ht="15">
      <c r="B17" s="188" t="s">
        <v>176</v>
      </c>
      <c r="C17" s="189" t="s">
        <v>129</v>
      </c>
      <c r="D17" s="190" t="s">
        <v>130</v>
      </c>
      <c r="E17" s="190" t="s">
        <v>177</v>
      </c>
      <c r="F17" s="189" t="s">
        <v>131</v>
      </c>
      <c r="G17" s="189" t="s">
        <v>77</v>
      </c>
      <c r="H17" s="189" t="s">
        <v>80</v>
      </c>
      <c r="I17" s="189" t="s">
        <v>81</v>
      </c>
      <c r="J17" s="191" t="s">
        <v>132</v>
      </c>
      <c r="K17" s="191" t="s">
        <v>133</v>
      </c>
    </row>
    <row r="18" spans="2:11" ht="15">
      <c r="B18" s="209">
        <v>1</v>
      </c>
      <c r="C18" s="1" t="s">
        <v>247</v>
      </c>
      <c r="D18" s="1">
        <v>239</v>
      </c>
      <c r="E18" s="84">
        <v>0.1</v>
      </c>
      <c r="F18" s="1" t="s">
        <v>39</v>
      </c>
      <c r="G18" s="210">
        <f>$D$7*0.1</f>
        <v>824.2</v>
      </c>
      <c r="H18" s="221">
        <v>1163.018</v>
      </c>
      <c r="I18" s="3">
        <f>+G18-H18</f>
        <v>-338.81799999999998</v>
      </c>
      <c r="J18" s="85">
        <f>H18/G18</f>
        <v>1.4110871147779664</v>
      </c>
      <c r="K18" s="211"/>
    </row>
    <row r="19" spans="2:11" ht="15">
      <c r="B19" s="209">
        <v>2</v>
      </c>
      <c r="C19" s="1" t="s">
        <v>247</v>
      </c>
      <c r="D19" s="1">
        <v>240</v>
      </c>
      <c r="E19" s="84">
        <v>0.1</v>
      </c>
      <c r="F19" s="1" t="s">
        <v>39</v>
      </c>
      <c r="G19" s="3">
        <f>D7*0.1</f>
        <v>824.2</v>
      </c>
      <c r="H19" s="221">
        <v>59.06</v>
      </c>
      <c r="I19" s="3">
        <f t="shared" ref="I19:I40" si="0">+G19-H19</f>
        <v>765.1400000000001</v>
      </c>
      <c r="J19" s="85">
        <f>H19/G19</f>
        <v>7.1657364717301622E-2</v>
      </c>
      <c r="K19" s="211"/>
    </row>
    <row r="20" spans="2:11" ht="15">
      <c r="B20" s="209">
        <v>3</v>
      </c>
      <c r="C20" s="1" t="s">
        <v>247</v>
      </c>
      <c r="D20" s="1">
        <v>241</v>
      </c>
      <c r="E20" s="84">
        <v>0.05</v>
      </c>
      <c r="F20" s="1" t="s">
        <v>39</v>
      </c>
      <c r="G20" s="3">
        <f>D7*0.05</f>
        <v>412.1</v>
      </c>
      <c r="H20" s="1"/>
      <c r="I20" s="3">
        <f t="shared" si="0"/>
        <v>412.1</v>
      </c>
      <c r="J20" s="85">
        <f>H20/G20</f>
        <v>0</v>
      </c>
      <c r="K20" s="212"/>
    </row>
    <row r="21" spans="2:11" ht="15">
      <c r="B21" s="209">
        <v>4</v>
      </c>
      <c r="C21" s="1" t="s">
        <v>247</v>
      </c>
      <c r="D21" s="1">
        <v>242</v>
      </c>
      <c r="E21" s="84">
        <v>0.05</v>
      </c>
      <c r="F21" s="1" t="s">
        <v>39</v>
      </c>
      <c r="G21" s="3">
        <f>$D$7*0.05</f>
        <v>412.1</v>
      </c>
      <c r="H21" s="3"/>
      <c r="I21" s="3">
        <f t="shared" si="0"/>
        <v>412.1</v>
      </c>
      <c r="J21" s="85">
        <f t="shared" ref="J21:J26" si="1">H21/G21</f>
        <v>0</v>
      </c>
      <c r="K21" s="211"/>
    </row>
    <row r="22" spans="2:11" ht="15">
      <c r="B22" s="209">
        <v>5</v>
      </c>
      <c r="C22" s="1" t="s">
        <v>247</v>
      </c>
      <c r="D22" s="1">
        <v>243</v>
      </c>
      <c r="E22" s="84">
        <v>0.05</v>
      </c>
      <c r="F22" s="1" t="s">
        <v>39</v>
      </c>
      <c r="G22" s="3">
        <f t="shared" ref="G22:G24" si="2">$D$7*0.05</f>
        <v>412.1</v>
      </c>
      <c r="H22" s="221">
        <v>229.81800000000001</v>
      </c>
      <c r="I22" s="3">
        <f t="shared" si="0"/>
        <v>182.28200000000001</v>
      </c>
      <c r="J22" s="85">
        <f t="shared" si="1"/>
        <v>0.55767532152390198</v>
      </c>
      <c r="K22" s="211"/>
    </row>
    <row r="23" spans="2:11" ht="15">
      <c r="B23" s="209">
        <v>6</v>
      </c>
      <c r="C23" s="1" t="s">
        <v>248</v>
      </c>
      <c r="D23" s="1">
        <v>244</v>
      </c>
      <c r="E23" s="84">
        <v>0.05</v>
      </c>
      <c r="F23" s="1" t="s">
        <v>39</v>
      </c>
      <c r="G23" s="3">
        <f t="shared" si="2"/>
        <v>412.1</v>
      </c>
      <c r="H23" s="221">
        <v>3210.018</v>
      </c>
      <c r="I23" s="3">
        <f>+G23-H23</f>
        <v>-2797.9180000000001</v>
      </c>
      <c r="J23" s="85">
        <f>H23/G23</f>
        <v>7.7894151904877456</v>
      </c>
      <c r="K23" s="211"/>
    </row>
    <row r="24" spans="2:11" ht="15">
      <c r="B24" s="209">
        <v>7</v>
      </c>
      <c r="C24" s="1" t="s">
        <v>248</v>
      </c>
      <c r="D24" s="1">
        <v>245</v>
      </c>
      <c r="E24" s="84">
        <v>0.05</v>
      </c>
      <c r="F24" s="1" t="s">
        <v>39</v>
      </c>
      <c r="G24" s="3">
        <f t="shared" si="2"/>
        <v>412.1</v>
      </c>
      <c r="H24" s="3"/>
      <c r="I24" s="3">
        <f t="shared" si="0"/>
        <v>412.1</v>
      </c>
      <c r="J24" s="85">
        <f t="shared" si="1"/>
        <v>0</v>
      </c>
      <c r="K24" s="211"/>
    </row>
    <row r="25" spans="2:11" ht="15">
      <c r="B25" s="209">
        <v>8</v>
      </c>
      <c r="C25" s="1" t="s">
        <v>248</v>
      </c>
      <c r="D25" s="1">
        <v>246</v>
      </c>
      <c r="E25" s="84">
        <v>0.04</v>
      </c>
      <c r="F25" s="1" t="s">
        <v>39</v>
      </c>
      <c r="G25" s="3">
        <f>D7*0.04</f>
        <v>329.68</v>
      </c>
      <c r="H25" s="3"/>
      <c r="I25" s="3">
        <f t="shared" si="0"/>
        <v>329.68</v>
      </c>
      <c r="J25" s="85">
        <f t="shared" si="1"/>
        <v>0</v>
      </c>
      <c r="K25" s="211"/>
    </row>
    <row r="26" spans="2:11" ht="15">
      <c r="B26" s="209">
        <v>9</v>
      </c>
      <c r="C26" s="1" t="s">
        <v>248</v>
      </c>
      <c r="D26" s="1">
        <v>247</v>
      </c>
      <c r="E26" s="84">
        <v>0.03</v>
      </c>
      <c r="F26" s="1" t="s">
        <v>39</v>
      </c>
      <c r="G26" s="3">
        <f>$D$7*0.03</f>
        <v>247.26</v>
      </c>
      <c r="H26" s="3"/>
      <c r="I26" s="3">
        <f t="shared" si="0"/>
        <v>247.26</v>
      </c>
      <c r="J26" s="85">
        <f t="shared" si="1"/>
        <v>0</v>
      </c>
      <c r="K26" s="211"/>
    </row>
    <row r="27" spans="2:11" ht="15">
      <c r="B27" s="209">
        <v>10</v>
      </c>
      <c r="C27" s="1" t="s">
        <v>248</v>
      </c>
      <c r="D27" s="1">
        <v>248</v>
      </c>
      <c r="E27" s="84">
        <v>0.03</v>
      </c>
      <c r="F27" s="1" t="s">
        <v>39</v>
      </c>
      <c r="G27" s="3">
        <f t="shared" ref="G27:G32" si="3">$D$7*0.03</f>
        <v>247.26</v>
      </c>
      <c r="H27" s="3"/>
      <c r="I27" s="3">
        <f t="shared" si="0"/>
        <v>247.26</v>
      </c>
      <c r="J27" s="85">
        <f>H27/G27</f>
        <v>0</v>
      </c>
      <c r="K27" s="211"/>
    </row>
    <row r="28" spans="2:11" ht="15">
      <c r="B28" s="209">
        <v>11</v>
      </c>
      <c r="C28" s="1" t="s">
        <v>248</v>
      </c>
      <c r="D28" s="1">
        <v>249</v>
      </c>
      <c r="E28" s="84">
        <v>0.03</v>
      </c>
      <c r="F28" s="1" t="s">
        <v>39</v>
      </c>
      <c r="G28" s="3">
        <f t="shared" si="3"/>
        <v>247.26</v>
      </c>
      <c r="H28" s="3"/>
      <c r="I28" s="3">
        <f t="shared" si="0"/>
        <v>247.26</v>
      </c>
      <c r="J28" s="85">
        <f>H28/G28</f>
        <v>0</v>
      </c>
      <c r="K28" s="211"/>
    </row>
    <row r="29" spans="2:11" ht="15">
      <c r="B29" s="209">
        <v>12</v>
      </c>
      <c r="C29" s="1" t="s">
        <v>248</v>
      </c>
      <c r="D29" s="1">
        <v>250</v>
      </c>
      <c r="E29" s="84">
        <v>0.03</v>
      </c>
      <c r="F29" s="1" t="s">
        <v>39</v>
      </c>
      <c r="G29" s="3">
        <f t="shared" si="3"/>
        <v>247.26</v>
      </c>
      <c r="H29" s="3"/>
      <c r="I29" s="3">
        <f t="shared" si="0"/>
        <v>247.26</v>
      </c>
      <c r="J29" s="85">
        <f>H29/G29</f>
        <v>0</v>
      </c>
      <c r="K29" s="211"/>
    </row>
    <row r="30" spans="2:11" ht="15">
      <c r="B30" s="209">
        <v>13</v>
      </c>
      <c r="C30" s="1" t="s">
        <v>248</v>
      </c>
      <c r="D30" s="1">
        <v>251</v>
      </c>
      <c r="E30" s="84">
        <v>0.03</v>
      </c>
      <c r="F30" s="1" t="s">
        <v>39</v>
      </c>
      <c r="G30" s="3">
        <f t="shared" si="3"/>
        <v>247.26</v>
      </c>
      <c r="H30" s="3"/>
      <c r="I30" s="3">
        <f t="shared" si="0"/>
        <v>247.26</v>
      </c>
      <c r="J30" s="85">
        <f t="shared" ref="J30:J40" si="4">H30/G30</f>
        <v>0</v>
      </c>
      <c r="K30" s="211"/>
    </row>
    <row r="31" spans="2:11" ht="15">
      <c r="B31" s="209">
        <v>14</v>
      </c>
      <c r="C31" s="1" t="s">
        <v>248</v>
      </c>
      <c r="D31" s="1">
        <v>252</v>
      </c>
      <c r="E31" s="84">
        <v>0.03</v>
      </c>
      <c r="F31" s="1" t="s">
        <v>39</v>
      </c>
      <c r="G31" s="3">
        <f t="shared" si="3"/>
        <v>247.26</v>
      </c>
      <c r="H31" s="3"/>
      <c r="I31" s="3">
        <f t="shared" si="0"/>
        <v>247.26</v>
      </c>
      <c r="J31" s="85">
        <f t="shared" si="4"/>
        <v>0</v>
      </c>
      <c r="K31" s="211"/>
    </row>
    <row r="32" spans="2:11" ht="15">
      <c r="B32" s="209">
        <v>15</v>
      </c>
      <c r="C32" s="1" t="s">
        <v>248</v>
      </c>
      <c r="D32" s="1">
        <v>253</v>
      </c>
      <c r="E32" s="84">
        <v>0.03</v>
      </c>
      <c r="F32" s="1" t="s">
        <v>39</v>
      </c>
      <c r="G32" s="3">
        <f t="shared" si="3"/>
        <v>247.26</v>
      </c>
      <c r="H32" s="3"/>
      <c r="I32" s="3">
        <f t="shared" si="0"/>
        <v>247.26</v>
      </c>
      <c r="J32" s="85">
        <f t="shared" si="4"/>
        <v>0</v>
      </c>
      <c r="K32" s="211"/>
    </row>
    <row r="33" spans="2:11" ht="15">
      <c r="B33" s="209">
        <v>16</v>
      </c>
      <c r="C33" s="1" t="s">
        <v>247</v>
      </c>
      <c r="D33" s="1">
        <v>254</v>
      </c>
      <c r="E33" s="86">
        <v>0.02</v>
      </c>
      <c r="F33" s="1" t="s">
        <v>39</v>
      </c>
      <c r="G33" s="3">
        <f>$D$7*0.02</f>
        <v>164.84</v>
      </c>
      <c r="H33" s="221">
        <v>1387.3889999999999</v>
      </c>
      <c r="I33" s="3">
        <f t="shared" si="0"/>
        <v>-1222.549</v>
      </c>
      <c r="J33" s="85">
        <f t="shared" si="4"/>
        <v>8.4165797136617311</v>
      </c>
      <c r="K33" s="211"/>
    </row>
    <row r="34" spans="2:11" ht="15">
      <c r="B34" s="209">
        <v>17</v>
      </c>
      <c r="C34" s="1" t="s">
        <v>248</v>
      </c>
      <c r="D34" s="1">
        <v>255</v>
      </c>
      <c r="E34" s="84">
        <v>0.02</v>
      </c>
      <c r="F34" s="1" t="s">
        <v>39</v>
      </c>
      <c r="G34" s="3">
        <f t="shared" ref="G34:G47" si="5">$D$7*0.02</f>
        <v>164.84</v>
      </c>
      <c r="H34" s="3"/>
      <c r="I34" s="3">
        <f t="shared" si="0"/>
        <v>164.84</v>
      </c>
      <c r="J34" s="85">
        <f t="shared" si="4"/>
        <v>0</v>
      </c>
      <c r="K34" s="211"/>
    </row>
    <row r="35" spans="2:11" ht="15">
      <c r="B35" s="209">
        <v>18</v>
      </c>
      <c r="C35" s="1" t="s">
        <v>248</v>
      </c>
      <c r="D35" s="1">
        <v>256</v>
      </c>
      <c r="E35" s="84">
        <v>0.02</v>
      </c>
      <c r="F35" s="1" t="s">
        <v>39</v>
      </c>
      <c r="G35" s="3">
        <f t="shared" si="5"/>
        <v>164.84</v>
      </c>
      <c r="H35" s="3"/>
      <c r="I35" s="3">
        <f t="shared" si="0"/>
        <v>164.84</v>
      </c>
      <c r="J35" s="85">
        <f t="shared" si="4"/>
        <v>0</v>
      </c>
      <c r="K35" s="211"/>
    </row>
    <row r="36" spans="2:11" ht="15">
      <c r="B36" s="209">
        <v>19</v>
      </c>
      <c r="C36" s="1" t="s">
        <v>249</v>
      </c>
      <c r="D36" s="1">
        <v>257</v>
      </c>
      <c r="E36" s="84">
        <v>0.02</v>
      </c>
      <c r="F36" s="1" t="s">
        <v>39</v>
      </c>
      <c r="G36" s="3">
        <f t="shared" si="5"/>
        <v>164.84</v>
      </c>
      <c r="H36" s="221">
        <v>10.46</v>
      </c>
      <c r="I36" s="3">
        <f t="shared" si="0"/>
        <v>154.38</v>
      </c>
      <c r="J36" s="85">
        <f t="shared" si="4"/>
        <v>6.3455471972822128E-2</v>
      </c>
      <c r="K36" s="211"/>
    </row>
    <row r="37" spans="2:11" ht="15">
      <c r="B37" s="209">
        <v>20</v>
      </c>
      <c r="C37" s="1" t="s">
        <v>249</v>
      </c>
      <c r="D37" s="1">
        <v>258</v>
      </c>
      <c r="E37" s="84">
        <v>0.02</v>
      </c>
      <c r="F37" s="1" t="s">
        <v>39</v>
      </c>
      <c r="G37" s="3">
        <f t="shared" si="5"/>
        <v>164.84</v>
      </c>
      <c r="H37" s="3"/>
      <c r="I37" s="3">
        <f t="shared" si="0"/>
        <v>164.84</v>
      </c>
      <c r="J37" s="85">
        <f t="shared" si="4"/>
        <v>0</v>
      </c>
      <c r="K37" s="211"/>
    </row>
    <row r="38" spans="2:11" ht="15">
      <c r="B38" s="209">
        <v>21</v>
      </c>
      <c r="C38" s="1" t="s">
        <v>249</v>
      </c>
      <c r="D38" s="1">
        <v>259</v>
      </c>
      <c r="E38" s="84">
        <v>0.02</v>
      </c>
      <c r="F38" s="1" t="s">
        <v>39</v>
      </c>
      <c r="G38" s="3">
        <f t="shared" si="5"/>
        <v>164.84</v>
      </c>
      <c r="H38" s="3"/>
      <c r="I38" s="3">
        <f t="shared" si="0"/>
        <v>164.84</v>
      </c>
      <c r="J38" s="85">
        <f t="shared" si="4"/>
        <v>0</v>
      </c>
      <c r="K38" s="211"/>
    </row>
    <row r="39" spans="2:11" ht="15">
      <c r="B39" s="209">
        <v>22</v>
      </c>
      <c r="C39" s="1" t="s">
        <v>249</v>
      </c>
      <c r="D39" s="1">
        <v>260</v>
      </c>
      <c r="E39" s="84">
        <v>0.02</v>
      </c>
      <c r="F39" s="1" t="s">
        <v>39</v>
      </c>
      <c r="G39" s="3">
        <f t="shared" si="5"/>
        <v>164.84</v>
      </c>
      <c r="H39" s="3"/>
      <c r="I39" s="3">
        <f t="shared" si="0"/>
        <v>164.84</v>
      </c>
      <c r="J39" s="85">
        <f t="shared" si="4"/>
        <v>0</v>
      </c>
      <c r="K39" s="211"/>
    </row>
    <row r="40" spans="2:11" ht="15">
      <c r="B40" s="209">
        <v>23</v>
      </c>
      <c r="C40" s="1" t="s">
        <v>249</v>
      </c>
      <c r="D40" s="1">
        <v>261</v>
      </c>
      <c r="E40" s="84">
        <v>0.02</v>
      </c>
      <c r="F40" s="1" t="s">
        <v>39</v>
      </c>
      <c r="G40" s="3">
        <f t="shared" si="5"/>
        <v>164.84</v>
      </c>
      <c r="H40" s="3"/>
      <c r="I40" s="3">
        <f t="shared" si="0"/>
        <v>164.84</v>
      </c>
      <c r="J40" s="85">
        <f t="shared" si="4"/>
        <v>0</v>
      </c>
      <c r="K40" s="211"/>
    </row>
    <row r="41" spans="2:11" ht="15">
      <c r="B41" s="209">
        <v>24</v>
      </c>
      <c r="C41" s="1" t="s">
        <v>249</v>
      </c>
      <c r="D41" s="1">
        <v>262</v>
      </c>
      <c r="E41" s="84">
        <v>0.02</v>
      </c>
      <c r="F41" s="1" t="s">
        <v>39</v>
      </c>
      <c r="G41" s="3">
        <f t="shared" si="5"/>
        <v>164.84</v>
      </c>
      <c r="H41" s="3"/>
      <c r="I41" s="3">
        <f>+G41-H41</f>
        <v>164.84</v>
      </c>
      <c r="J41" s="85">
        <f>H41/G41</f>
        <v>0</v>
      </c>
      <c r="K41" s="211"/>
    </row>
    <row r="42" spans="2:11" ht="15">
      <c r="B42" s="209">
        <v>25</v>
      </c>
      <c r="C42" s="1" t="s">
        <v>251</v>
      </c>
      <c r="D42" s="1">
        <v>57</v>
      </c>
      <c r="E42" s="84">
        <v>0.02</v>
      </c>
      <c r="F42" s="1" t="s">
        <v>39</v>
      </c>
      <c r="G42" s="3">
        <f t="shared" si="5"/>
        <v>164.84</v>
      </c>
      <c r="H42" s="3"/>
      <c r="I42" s="3">
        <f t="shared" ref="I42:I47" si="6">+G42-H42</f>
        <v>164.84</v>
      </c>
      <c r="J42" s="85">
        <f t="shared" ref="J42:J47" si="7">H42/G42</f>
        <v>0</v>
      </c>
      <c r="K42" s="211"/>
    </row>
    <row r="43" spans="2:11" ht="15">
      <c r="B43" s="209">
        <v>26</v>
      </c>
      <c r="C43" s="1" t="s">
        <v>251</v>
      </c>
      <c r="D43" s="1">
        <v>56</v>
      </c>
      <c r="E43" s="84">
        <v>0.02</v>
      </c>
      <c r="F43" s="1" t="s">
        <v>39</v>
      </c>
      <c r="G43" s="3">
        <f t="shared" si="5"/>
        <v>164.84</v>
      </c>
      <c r="H43" s="3"/>
      <c r="I43" s="3">
        <f t="shared" si="6"/>
        <v>164.84</v>
      </c>
      <c r="J43" s="85">
        <f t="shared" si="7"/>
        <v>0</v>
      </c>
      <c r="K43" s="211"/>
    </row>
    <row r="44" spans="2:11" ht="15">
      <c r="B44" s="209">
        <v>27</v>
      </c>
      <c r="C44" s="1" t="s">
        <v>251</v>
      </c>
      <c r="D44" s="1">
        <v>51</v>
      </c>
      <c r="E44" s="84">
        <v>0.02</v>
      </c>
      <c r="F44" s="1" t="s">
        <v>39</v>
      </c>
      <c r="G44" s="3">
        <f t="shared" si="5"/>
        <v>164.84</v>
      </c>
      <c r="H44" s="221">
        <v>1007.787</v>
      </c>
      <c r="I44" s="3">
        <f t="shared" si="6"/>
        <v>-842.947</v>
      </c>
      <c r="J44" s="85">
        <f t="shared" si="7"/>
        <v>6.1137284639650575</v>
      </c>
      <c r="K44" s="211"/>
    </row>
    <row r="45" spans="2:11" ht="15">
      <c r="B45" s="209">
        <v>28</v>
      </c>
      <c r="C45" s="1" t="s">
        <v>251</v>
      </c>
      <c r="D45" s="1">
        <v>58</v>
      </c>
      <c r="E45" s="84">
        <v>0.02</v>
      </c>
      <c r="F45" s="1" t="s">
        <v>39</v>
      </c>
      <c r="G45" s="3">
        <f t="shared" si="5"/>
        <v>164.84</v>
      </c>
      <c r="H45" s="3"/>
      <c r="I45" s="3">
        <f t="shared" si="6"/>
        <v>164.84</v>
      </c>
      <c r="J45" s="85">
        <f t="shared" si="7"/>
        <v>0</v>
      </c>
      <c r="K45" s="211"/>
    </row>
    <row r="46" spans="2:11" ht="15">
      <c r="B46" s="209">
        <v>29</v>
      </c>
      <c r="C46" s="1" t="s">
        <v>251</v>
      </c>
      <c r="D46" s="1">
        <v>54</v>
      </c>
      <c r="E46" s="84">
        <v>0.02</v>
      </c>
      <c r="F46" s="1" t="s">
        <v>39</v>
      </c>
      <c r="G46" s="3">
        <f t="shared" si="5"/>
        <v>164.84</v>
      </c>
      <c r="H46" s="3"/>
      <c r="I46" s="3">
        <f t="shared" si="6"/>
        <v>164.84</v>
      </c>
      <c r="J46" s="85">
        <f t="shared" si="7"/>
        <v>0</v>
      </c>
      <c r="K46" s="211"/>
    </row>
    <row r="47" spans="2:11" ht="15">
      <c r="B47" s="209">
        <v>30</v>
      </c>
      <c r="C47" s="1" t="s">
        <v>251</v>
      </c>
      <c r="D47" s="1">
        <v>59</v>
      </c>
      <c r="E47" s="84">
        <v>0.02</v>
      </c>
      <c r="F47" s="1" t="s">
        <v>39</v>
      </c>
      <c r="G47" s="3">
        <f t="shared" si="5"/>
        <v>164.84</v>
      </c>
      <c r="H47" s="3"/>
      <c r="I47" s="3">
        <f t="shared" si="6"/>
        <v>164.84</v>
      </c>
      <c r="J47" s="85">
        <f t="shared" si="7"/>
        <v>0</v>
      </c>
      <c r="K47" s="211"/>
    </row>
    <row r="48" spans="2:11" ht="15">
      <c r="B48" s="209"/>
      <c r="C48" s="1"/>
      <c r="D48" s="1"/>
      <c r="E48" s="84"/>
      <c r="F48" s="1"/>
      <c r="G48" s="3"/>
      <c r="H48" s="3"/>
      <c r="I48" s="3"/>
      <c r="J48" s="85"/>
      <c r="K48" s="211"/>
    </row>
    <row r="49" spans="2:11" ht="15.75" thickBot="1">
      <c r="B49" s="611" t="s">
        <v>252</v>
      </c>
      <c r="C49" s="612"/>
      <c r="D49" s="213" t="s">
        <v>142</v>
      </c>
      <c r="E49" s="214">
        <f>SUM(E18:E48)</f>
        <v>1.0000000000000002</v>
      </c>
      <c r="F49" s="213" t="s">
        <v>39</v>
      </c>
      <c r="G49" s="215">
        <f>SUM(G18:G48)</f>
        <v>8242.0000000000018</v>
      </c>
      <c r="H49" s="216">
        <f>SUM(H18:H48)</f>
        <v>7067.55</v>
      </c>
      <c r="I49" s="215">
        <f>+G49-H49</f>
        <v>1174.4500000000016</v>
      </c>
      <c r="J49" s="217">
        <f>H49/G49</f>
        <v>0.85750424654210122</v>
      </c>
      <c r="K49" s="218"/>
    </row>
  </sheetData>
  <mergeCells count="6">
    <mergeCell ref="B49:C49"/>
    <mergeCell ref="B2:K2"/>
    <mergeCell ref="B3:K3"/>
    <mergeCell ref="C4:H4"/>
    <mergeCell ref="C5:G5"/>
    <mergeCell ref="C9:H9"/>
  </mergeCells>
  <conditionalFormatting sqref="G7">
    <cfRule type="dataBar" priority="1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{D6F78D2E-B124-496F-AA3A-BC99911716B4}</x14:id>
        </ext>
      </extLst>
    </cfRule>
  </conditionalFormatting>
  <conditionalFormatting sqref="G11:G1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{BF8B833B-C579-4C3C-8E76-1650ED01748A}</x14:id>
        </ext>
      </extLst>
    </cfRule>
  </conditionalFormatting>
  <conditionalFormatting sqref="J18:J4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{C6511A57-4671-4D89-BF34-585587EDFE1A}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F78D2E-B124-496F-AA3A-BC99911716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F8B833B-C579-4C3C-8E76-1650ED0174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G11:G15</xm:sqref>
        </x14:conditionalFormatting>
        <x14:conditionalFormatting xmlns:xm="http://schemas.microsoft.com/office/excel/2006/main">
          <x14:cfRule type="dataBar" id="{C6511A57-4671-4D89-BF34-585587EDFE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J18:J49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1"/>
  <sheetViews>
    <sheetView zoomScale="110" zoomScaleNormal="110" workbookViewId="0">
      <selection activeCell="K154" sqref="K154"/>
    </sheetView>
  </sheetViews>
  <sheetFormatPr baseColWidth="10" defaultRowHeight="15"/>
  <cols>
    <col min="1" max="1" width="9" style="120" bestFit="1" customWidth="1"/>
    <col min="2" max="2" width="12.28515625" style="120" customWidth="1"/>
    <col min="3" max="3" width="46.42578125" style="120" bestFit="1" customWidth="1"/>
    <col min="4" max="4" width="47" style="120" bestFit="1" customWidth="1"/>
    <col min="5" max="5" width="11.28515625" style="120" bestFit="1" customWidth="1"/>
    <col min="6" max="6" width="9.7109375" style="120" bestFit="1" customWidth="1"/>
    <col min="7" max="7" width="9.28515625" style="120" customWidth="1"/>
    <col min="8" max="8" width="9.7109375" style="120" bestFit="1" customWidth="1"/>
    <col min="9" max="9" width="10.140625" style="120" bestFit="1" customWidth="1"/>
    <col min="10" max="10" width="11.140625" style="120" bestFit="1" customWidth="1"/>
    <col min="11" max="16384" width="11.42578125" style="120"/>
  </cols>
  <sheetData>
    <row r="2" spans="1:10" ht="15.75" thickBot="1"/>
    <row r="3" spans="1:10">
      <c r="A3" s="121" t="s">
        <v>481</v>
      </c>
      <c r="B3" s="122" t="s">
        <v>14</v>
      </c>
      <c r="C3" s="122" t="s">
        <v>167</v>
      </c>
      <c r="D3" s="123" t="s">
        <v>19</v>
      </c>
      <c r="E3" s="123" t="s">
        <v>21</v>
      </c>
      <c r="F3" s="124" t="s">
        <v>68</v>
      </c>
    </row>
    <row r="4" spans="1:10" ht="15.75" thickBot="1">
      <c r="A4" s="125" t="s">
        <v>68</v>
      </c>
      <c r="B4" s="126">
        <v>115039</v>
      </c>
      <c r="C4" s="126">
        <v>24277</v>
      </c>
      <c r="D4" s="127">
        <v>520777</v>
      </c>
      <c r="E4" s="128">
        <v>72522</v>
      </c>
      <c r="F4" s="129">
        <f>B4+C4+D4+E4</f>
        <v>732615</v>
      </c>
    </row>
    <row r="7" spans="1:10" ht="15.75" thickBot="1"/>
    <row r="8" spans="1:10">
      <c r="A8" s="623" t="s">
        <v>168</v>
      </c>
      <c r="B8" s="624"/>
      <c r="C8" s="624"/>
      <c r="D8" s="624"/>
      <c r="E8" s="624"/>
      <c r="F8" s="624"/>
      <c r="G8" s="624"/>
      <c r="H8" s="625"/>
      <c r="I8" s="6"/>
      <c r="J8" s="6"/>
    </row>
    <row r="9" spans="1:10">
      <c r="A9" s="81" t="s">
        <v>169</v>
      </c>
      <c r="B9" s="82" t="s">
        <v>170</v>
      </c>
      <c r="C9" s="82" t="s">
        <v>171</v>
      </c>
      <c r="D9" s="82" t="s">
        <v>172</v>
      </c>
      <c r="E9" s="82" t="s">
        <v>173</v>
      </c>
      <c r="F9" s="82" t="s">
        <v>14</v>
      </c>
      <c r="G9" s="82" t="s">
        <v>167</v>
      </c>
      <c r="H9" s="82" t="s">
        <v>19</v>
      </c>
      <c r="I9" s="82" t="s">
        <v>21</v>
      </c>
      <c r="J9" s="83" t="s">
        <v>174</v>
      </c>
    </row>
    <row r="10" spans="1:10">
      <c r="A10" s="380">
        <v>89</v>
      </c>
      <c r="B10" s="381">
        <v>45307</v>
      </c>
      <c r="C10" s="382" t="s">
        <v>203</v>
      </c>
      <c r="D10" s="382" t="s">
        <v>195</v>
      </c>
      <c r="E10" s="390">
        <v>6.0000000000000001E-3</v>
      </c>
      <c r="F10" s="383"/>
      <c r="G10" s="383"/>
      <c r="H10" s="383"/>
      <c r="I10" s="383">
        <f>E10*E4</f>
        <v>435.13200000000001</v>
      </c>
      <c r="J10" s="383">
        <v>435.13200000000001</v>
      </c>
    </row>
    <row r="11" spans="1:10" ht="15.75" thickBot="1">
      <c r="A11" s="380">
        <v>90</v>
      </c>
      <c r="B11" s="381">
        <v>45307</v>
      </c>
      <c r="C11" s="382" t="s">
        <v>201</v>
      </c>
      <c r="D11" s="382" t="s">
        <v>195</v>
      </c>
      <c r="E11" s="390">
        <v>5.6620000000000004E-3</v>
      </c>
      <c r="F11" s="383"/>
      <c r="G11" s="383"/>
      <c r="H11" s="383"/>
      <c r="I11" s="391">
        <f>E11*E4</f>
        <v>410.61956400000003</v>
      </c>
      <c r="J11" s="391">
        <v>410.62</v>
      </c>
    </row>
    <row r="12" spans="1:10">
      <c r="A12" s="380">
        <v>91</v>
      </c>
      <c r="B12" s="381">
        <v>45307</v>
      </c>
      <c r="C12" s="382" t="s">
        <v>203</v>
      </c>
      <c r="D12" s="382" t="s">
        <v>195</v>
      </c>
      <c r="E12" s="392">
        <v>6.0000000000000001E-3</v>
      </c>
      <c r="F12" s="383"/>
      <c r="G12" s="383"/>
      <c r="H12" s="383"/>
      <c r="I12" s="383">
        <f>E12*E4</f>
        <v>435.13200000000001</v>
      </c>
      <c r="J12" s="383">
        <v>435.13200000000001</v>
      </c>
    </row>
    <row r="13" spans="1:10">
      <c r="A13" s="380">
        <v>92</v>
      </c>
      <c r="B13" s="381">
        <v>45307</v>
      </c>
      <c r="C13" s="382" t="s">
        <v>203</v>
      </c>
      <c r="D13" s="382" t="s">
        <v>195</v>
      </c>
      <c r="E13" s="392">
        <v>6.0000000000000001E-3</v>
      </c>
      <c r="F13" s="383"/>
      <c r="G13" s="383"/>
      <c r="H13" s="383"/>
      <c r="I13" s="383">
        <f>E13*E4</f>
        <v>435.13200000000001</v>
      </c>
      <c r="J13" s="383">
        <v>435.13200000000001</v>
      </c>
    </row>
    <row r="14" spans="1:10">
      <c r="A14" s="380">
        <v>264</v>
      </c>
      <c r="B14" s="381">
        <v>45324</v>
      </c>
      <c r="C14" s="382" t="s">
        <v>152</v>
      </c>
      <c r="D14" s="382" t="s">
        <v>253</v>
      </c>
      <c r="E14" s="380">
        <v>1.2E-2</v>
      </c>
      <c r="F14" s="383"/>
      <c r="G14" s="383">
        <f>E14*C4</f>
        <v>291.32400000000001</v>
      </c>
      <c r="H14" s="383"/>
      <c r="I14" s="383"/>
      <c r="J14" s="383">
        <v>291.32400000000001</v>
      </c>
    </row>
    <row r="15" spans="1:10">
      <c r="A15" s="380">
        <v>287</v>
      </c>
      <c r="B15" s="381">
        <v>45324</v>
      </c>
      <c r="C15" s="382" t="s">
        <v>160</v>
      </c>
      <c r="D15" s="382" t="s">
        <v>254</v>
      </c>
      <c r="E15" s="380">
        <v>4.7178000000000003E-3</v>
      </c>
      <c r="F15" s="383"/>
      <c r="G15" s="383"/>
      <c r="H15" s="383">
        <f>E15*D4</f>
        <v>2456.9217306</v>
      </c>
      <c r="I15" s="383">
        <f>E15*D4</f>
        <v>2456.9217306</v>
      </c>
      <c r="J15" s="383">
        <v>2456.9216999999999</v>
      </c>
    </row>
    <row r="16" spans="1:10">
      <c r="A16" s="380">
        <v>339</v>
      </c>
      <c r="B16" s="381">
        <v>45330</v>
      </c>
      <c r="C16" s="382" t="s">
        <v>160</v>
      </c>
      <c r="D16" s="382" t="s">
        <v>255</v>
      </c>
      <c r="E16" s="380">
        <v>9.7078000000000008E-3</v>
      </c>
      <c r="F16" s="383"/>
      <c r="G16" s="383">
        <f>E16*C4</f>
        <v>235.67626060000001</v>
      </c>
      <c r="H16" s="383"/>
      <c r="I16" s="383"/>
      <c r="J16" s="383">
        <v>235.67626060000001</v>
      </c>
    </row>
    <row r="17" spans="1:10">
      <c r="A17" s="380">
        <v>353</v>
      </c>
      <c r="B17" s="381">
        <v>45331</v>
      </c>
      <c r="C17" s="382" t="s">
        <v>256</v>
      </c>
      <c r="D17" s="382" t="s">
        <v>253</v>
      </c>
      <c r="E17" s="380">
        <v>4.4999999999999997E-3</v>
      </c>
      <c r="F17" s="383"/>
      <c r="G17" s="383"/>
      <c r="H17" s="383">
        <f>E17*D4</f>
        <v>2343.4964999999997</v>
      </c>
      <c r="I17" s="383"/>
      <c r="J17" s="383">
        <v>2343.4969999999998</v>
      </c>
    </row>
    <row r="18" spans="1:10">
      <c r="A18" s="380">
        <v>354</v>
      </c>
      <c r="B18" s="381">
        <v>45331</v>
      </c>
      <c r="C18" s="382" t="s">
        <v>256</v>
      </c>
      <c r="D18" s="382" t="s">
        <v>253</v>
      </c>
      <c r="E18" s="380">
        <v>4.4999999999999997E-3</v>
      </c>
      <c r="F18" s="383">
        <f>E18*B4</f>
        <v>517.67549999999994</v>
      </c>
      <c r="G18" s="383"/>
      <c r="H18" s="383"/>
      <c r="I18" s="383"/>
      <c r="J18" s="383">
        <f>F18</f>
        <v>517.67549999999994</v>
      </c>
    </row>
    <row r="19" spans="1:10">
      <c r="A19" s="380">
        <v>355</v>
      </c>
      <c r="B19" s="381">
        <v>45331</v>
      </c>
      <c r="C19" s="382" t="s">
        <v>256</v>
      </c>
      <c r="D19" s="382" t="s">
        <v>253</v>
      </c>
      <c r="E19" s="380">
        <v>6.0000000000000001E-3</v>
      </c>
      <c r="F19" s="383">
        <f>E19*B4</f>
        <v>690.23400000000004</v>
      </c>
      <c r="G19" s="383"/>
      <c r="H19" s="383"/>
      <c r="I19" s="383"/>
      <c r="J19" s="383">
        <f>F19</f>
        <v>690.23400000000004</v>
      </c>
    </row>
    <row r="20" spans="1:10">
      <c r="A20" s="380">
        <v>540</v>
      </c>
      <c r="B20" s="381">
        <v>45351</v>
      </c>
      <c r="C20" s="382" t="s">
        <v>315</v>
      </c>
      <c r="D20" s="382" t="s">
        <v>316</v>
      </c>
      <c r="E20" s="380">
        <v>2.2100000000000002E-3</v>
      </c>
      <c r="F20" s="383"/>
      <c r="G20" s="383"/>
      <c r="H20" s="383">
        <f>E20*D4</f>
        <v>1150.9171700000002</v>
      </c>
      <c r="I20" s="383"/>
      <c r="J20" s="383">
        <v>1150.9169999999999</v>
      </c>
    </row>
    <row r="21" spans="1:10">
      <c r="A21" s="380">
        <v>281</v>
      </c>
      <c r="B21" s="381">
        <v>45218</v>
      </c>
      <c r="C21" s="382" t="s">
        <v>321</v>
      </c>
      <c r="D21" s="382" t="s">
        <v>195</v>
      </c>
      <c r="E21" s="380">
        <v>4.6841000000000001E-3</v>
      </c>
      <c r="F21" s="383"/>
      <c r="G21" s="383"/>
      <c r="H21" s="383">
        <f>D4*E21</f>
        <v>2439.3715456999998</v>
      </c>
      <c r="I21" s="383"/>
      <c r="J21" s="383">
        <v>2439.3719999999998</v>
      </c>
    </row>
    <row r="22" spans="1:10">
      <c r="A22" s="380">
        <v>702</v>
      </c>
      <c r="B22" s="381">
        <v>45363</v>
      </c>
      <c r="C22" s="382" t="s">
        <v>160</v>
      </c>
      <c r="D22" s="382" t="s">
        <v>331</v>
      </c>
      <c r="E22" s="380">
        <v>4.6841000000000001E-3</v>
      </c>
      <c r="F22" s="383"/>
      <c r="G22" s="383"/>
      <c r="H22" s="383">
        <f>E22*D4</f>
        <v>2439.3715456999998</v>
      </c>
      <c r="I22" s="383"/>
      <c r="J22" s="383">
        <v>2439.3719999999998</v>
      </c>
    </row>
    <row r="23" spans="1:10">
      <c r="A23" s="380">
        <v>723</v>
      </c>
      <c r="B23" s="381">
        <v>45365</v>
      </c>
      <c r="C23" s="382" t="s">
        <v>152</v>
      </c>
      <c r="D23" s="382" t="s">
        <v>253</v>
      </c>
      <c r="E23" s="380">
        <v>4.4999999999999997E-3</v>
      </c>
      <c r="F23" s="383"/>
      <c r="G23" s="383"/>
      <c r="H23" s="383">
        <f>E23*D4</f>
        <v>2343.4964999999997</v>
      </c>
      <c r="I23" s="383"/>
      <c r="J23" s="383">
        <v>2343.4969999999998</v>
      </c>
    </row>
    <row r="24" spans="1:10">
      <c r="A24" s="380">
        <v>724</v>
      </c>
      <c r="B24" s="381">
        <v>45365</v>
      </c>
      <c r="C24" s="382" t="s">
        <v>152</v>
      </c>
      <c r="D24" s="382" t="s">
        <v>253</v>
      </c>
      <c r="E24" s="380">
        <v>4.4999999999999997E-3</v>
      </c>
      <c r="F24" s="383">
        <f>E24*B4</f>
        <v>517.67549999999994</v>
      </c>
      <c r="G24" s="383"/>
      <c r="H24" s="383"/>
      <c r="I24" s="383"/>
      <c r="J24" s="383">
        <f>F24</f>
        <v>517.67549999999994</v>
      </c>
    </row>
    <row r="25" spans="1:10">
      <c r="A25" s="380">
        <v>725</v>
      </c>
      <c r="B25" s="381">
        <v>45365</v>
      </c>
      <c r="C25" s="382" t="s">
        <v>152</v>
      </c>
      <c r="D25" s="382" t="s">
        <v>253</v>
      </c>
      <c r="E25" s="380">
        <v>4.4999999999999997E-3</v>
      </c>
      <c r="F25" s="383">
        <f>E25*B4</f>
        <v>517.67549999999994</v>
      </c>
      <c r="G25" s="383"/>
      <c r="H25" s="383"/>
      <c r="I25" s="383"/>
      <c r="J25" s="383">
        <f>F25</f>
        <v>517.67549999999994</v>
      </c>
    </row>
    <row r="26" spans="1:10">
      <c r="A26" s="380">
        <v>726</v>
      </c>
      <c r="B26" s="381">
        <v>45365</v>
      </c>
      <c r="C26" s="382" t="s">
        <v>152</v>
      </c>
      <c r="D26" s="382" t="s">
        <v>253</v>
      </c>
      <c r="E26" s="380">
        <v>4.4999999999999997E-3</v>
      </c>
      <c r="F26" s="383">
        <f>E26*B4</f>
        <v>517.67549999999994</v>
      </c>
      <c r="G26" s="383"/>
      <c r="H26" s="383"/>
      <c r="I26" s="383"/>
      <c r="J26" s="383">
        <f>F26</f>
        <v>517.67549999999994</v>
      </c>
    </row>
    <row r="27" spans="1:10">
      <c r="A27" s="380">
        <v>727</v>
      </c>
      <c r="B27" s="381">
        <v>45365</v>
      </c>
      <c r="C27" s="382" t="s">
        <v>152</v>
      </c>
      <c r="D27" s="382" t="s">
        <v>253</v>
      </c>
      <c r="E27" s="380">
        <v>1.2E-2</v>
      </c>
      <c r="F27" s="383"/>
      <c r="G27" s="383">
        <f>E27*C4</f>
        <v>291.32400000000001</v>
      </c>
      <c r="H27" s="383"/>
      <c r="I27" s="383"/>
      <c r="J27" s="383">
        <v>291.32</v>
      </c>
    </row>
    <row r="28" spans="1:10">
      <c r="A28" s="380">
        <v>728</v>
      </c>
      <c r="B28" s="381">
        <v>45365</v>
      </c>
      <c r="C28" s="382" t="s">
        <v>152</v>
      </c>
      <c r="D28" s="382" t="s">
        <v>253</v>
      </c>
      <c r="E28" s="380">
        <v>1.2E-2</v>
      </c>
      <c r="F28" s="383"/>
      <c r="G28" s="383">
        <f>E28*C4</f>
        <v>291.32400000000001</v>
      </c>
      <c r="H28" s="383"/>
      <c r="I28" s="383"/>
      <c r="J28" s="383">
        <v>291.32</v>
      </c>
    </row>
    <row r="29" spans="1:10">
      <c r="A29" s="380">
        <v>729</v>
      </c>
      <c r="B29" s="381">
        <v>45365</v>
      </c>
      <c r="C29" s="382" t="s">
        <v>152</v>
      </c>
      <c r="D29" s="382" t="s">
        <v>253</v>
      </c>
      <c r="E29" s="380">
        <v>1.2E-2</v>
      </c>
      <c r="F29" s="383"/>
      <c r="G29" s="383">
        <f>E29*C4</f>
        <v>291.32400000000001</v>
      </c>
      <c r="H29" s="383"/>
      <c r="I29" s="383"/>
      <c r="J29" s="383">
        <v>291.32</v>
      </c>
    </row>
    <row r="30" spans="1:10">
      <c r="A30" s="380">
        <v>731</v>
      </c>
      <c r="B30" s="381">
        <v>45365</v>
      </c>
      <c r="C30" s="382" t="s">
        <v>152</v>
      </c>
      <c r="D30" s="382" t="s">
        <v>253</v>
      </c>
      <c r="E30" s="380">
        <v>8.9999999999999993E-3</v>
      </c>
      <c r="F30" s="383"/>
      <c r="G30" s="383"/>
      <c r="H30" s="383"/>
      <c r="I30" s="383">
        <f>E4*E30</f>
        <v>652.69799999999998</v>
      </c>
      <c r="J30" s="383">
        <f>I30</f>
        <v>652.69799999999998</v>
      </c>
    </row>
    <row r="31" spans="1:10">
      <c r="A31" s="380">
        <v>730</v>
      </c>
      <c r="B31" s="381">
        <v>45365</v>
      </c>
      <c r="C31" s="382" t="s">
        <v>152</v>
      </c>
      <c r="D31" s="382" t="s">
        <v>253</v>
      </c>
      <c r="E31" s="380">
        <v>7.4999999999999997E-3</v>
      </c>
      <c r="F31" s="383"/>
      <c r="G31" s="383"/>
      <c r="H31" s="383"/>
      <c r="I31" s="383">
        <f>E31*E4</f>
        <v>543.91499999999996</v>
      </c>
      <c r="J31" s="383">
        <v>543.91499999999996</v>
      </c>
    </row>
    <row r="32" spans="1:10">
      <c r="A32" s="380">
        <v>732</v>
      </c>
      <c r="B32" s="381">
        <v>45365</v>
      </c>
      <c r="C32" s="382" t="s">
        <v>152</v>
      </c>
      <c r="D32" s="382" t="s">
        <v>253</v>
      </c>
      <c r="E32" s="380">
        <v>8.9999999999999993E-3</v>
      </c>
      <c r="F32" s="383"/>
      <c r="G32" s="383"/>
      <c r="H32" s="383"/>
      <c r="I32" s="383">
        <f>E32*E4</f>
        <v>652.69799999999998</v>
      </c>
      <c r="J32" s="383">
        <v>625.69799999999998</v>
      </c>
    </row>
    <row r="33" spans="1:10">
      <c r="A33" s="380">
        <v>873</v>
      </c>
      <c r="B33" s="381">
        <v>45387</v>
      </c>
      <c r="C33" s="382" t="s">
        <v>160</v>
      </c>
      <c r="D33" s="382" t="s">
        <v>335</v>
      </c>
      <c r="E33" s="380">
        <v>1.55233E-2</v>
      </c>
      <c r="F33" s="383"/>
      <c r="G33" s="383"/>
      <c r="H33" s="383"/>
      <c r="I33" s="383">
        <f>E33*E4</f>
        <v>1125.7807626000001</v>
      </c>
      <c r="J33" s="383">
        <v>1125.7808</v>
      </c>
    </row>
    <row r="34" spans="1:10">
      <c r="A34" s="380">
        <v>991</v>
      </c>
      <c r="B34" s="381">
        <v>45401</v>
      </c>
      <c r="C34" s="382" t="s">
        <v>160</v>
      </c>
      <c r="D34" s="382" t="s">
        <v>337</v>
      </c>
      <c r="E34" s="380">
        <v>4.6841000000000001E-3</v>
      </c>
      <c r="F34" s="383"/>
      <c r="G34" s="383"/>
      <c r="H34" s="383">
        <f>E34*D4</f>
        <v>2439.3715456999998</v>
      </c>
      <c r="I34" s="383"/>
      <c r="J34" s="383">
        <v>2439.3719999999998</v>
      </c>
    </row>
    <row r="35" spans="1:10">
      <c r="A35" s="380">
        <v>1055</v>
      </c>
      <c r="B35" s="381">
        <v>45407</v>
      </c>
      <c r="C35" s="382" t="s">
        <v>354</v>
      </c>
      <c r="D35" s="382" t="s">
        <v>355</v>
      </c>
      <c r="E35" s="380">
        <v>1.0000000000000001E-5</v>
      </c>
      <c r="F35" s="383"/>
      <c r="G35" s="383"/>
      <c r="H35" s="383">
        <f>E35*D4</f>
        <v>5.20777</v>
      </c>
      <c r="I35" s="383"/>
      <c r="J35" s="383">
        <v>5.20777</v>
      </c>
    </row>
    <row r="36" spans="1:10">
      <c r="A36" s="380">
        <v>1160</v>
      </c>
      <c r="B36" s="381">
        <v>45419</v>
      </c>
      <c r="C36" s="382" t="s">
        <v>157</v>
      </c>
      <c r="D36" s="382" t="s">
        <v>427</v>
      </c>
      <c r="E36" s="380">
        <v>2.3000000000000001E-4</v>
      </c>
      <c r="F36" s="383"/>
      <c r="G36" s="383"/>
      <c r="H36" s="383"/>
      <c r="I36" s="383">
        <f>E36*E4</f>
        <v>16.680060000000001</v>
      </c>
      <c r="J36" s="383">
        <v>16.680060000000001</v>
      </c>
    </row>
    <row r="37" spans="1:10">
      <c r="A37" s="380">
        <v>1159</v>
      </c>
      <c r="B37" s="381">
        <v>45419</v>
      </c>
      <c r="C37" s="382" t="s">
        <v>157</v>
      </c>
      <c r="D37" s="382" t="s">
        <v>427</v>
      </c>
      <c r="E37" s="380">
        <v>1E-4</v>
      </c>
      <c r="F37" s="383"/>
      <c r="G37" s="383"/>
      <c r="H37" s="383">
        <f>E37*D4</f>
        <v>52.0777</v>
      </c>
      <c r="I37" s="383"/>
      <c r="J37" s="383">
        <v>52.0777</v>
      </c>
    </row>
    <row r="38" spans="1:10">
      <c r="A38" s="380">
        <v>1161</v>
      </c>
      <c r="B38" s="381">
        <v>45419</v>
      </c>
      <c r="C38" s="382" t="s">
        <v>157</v>
      </c>
      <c r="D38" s="382" t="s">
        <v>428</v>
      </c>
      <c r="E38" s="380">
        <v>2.5000000000000001E-4</v>
      </c>
      <c r="F38" s="383"/>
      <c r="G38" s="383"/>
      <c r="H38" s="383"/>
      <c r="I38" s="383">
        <f>E38*E4</f>
        <v>18.130500000000001</v>
      </c>
      <c r="J38" s="383">
        <v>18.130500000000001</v>
      </c>
    </row>
    <row r="39" spans="1:10">
      <c r="A39" s="380">
        <v>1162</v>
      </c>
      <c r="B39" s="381">
        <v>45419</v>
      </c>
      <c r="C39" s="382" t="s">
        <v>157</v>
      </c>
      <c r="D39" s="382" t="s">
        <v>428</v>
      </c>
      <c r="E39" s="380">
        <v>1.4999999999999999E-4</v>
      </c>
      <c r="F39" s="383"/>
      <c r="G39" s="383"/>
      <c r="H39" s="383">
        <f>E39*D4</f>
        <v>78.116549999999989</v>
      </c>
      <c r="I39" s="383"/>
      <c r="J39" s="383">
        <v>78.116600000000005</v>
      </c>
    </row>
    <row r="40" spans="1:10">
      <c r="A40" s="380">
        <v>1185</v>
      </c>
      <c r="B40" s="381">
        <v>45421</v>
      </c>
      <c r="C40" s="382" t="s">
        <v>253</v>
      </c>
      <c r="D40" s="382" t="s">
        <v>429</v>
      </c>
      <c r="E40" s="380">
        <v>1.2E-2</v>
      </c>
      <c r="F40" s="383"/>
      <c r="G40" s="383">
        <f>E40*C4</f>
        <v>291.32400000000001</v>
      </c>
      <c r="H40" s="383"/>
      <c r="I40" s="383"/>
      <c r="J40" s="383">
        <v>291.32</v>
      </c>
    </row>
    <row r="41" spans="1:10">
      <c r="A41" s="380">
        <v>1184</v>
      </c>
      <c r="B41" s="381">
        <v>45421</v>
      </c>
      <c r="C41" s="382" t="s">
        <v>253</v>
      </c>
      <c r="D41" s="382" t="s">
        <v>429</v>
      </c>
      <c r="E41" s="380">
        <v>1.2E-2</v>
      </c>
      <c r="F41" s="383"/>
      <c r="G41" s="383">
        <f>E41*C4</f>
        <v>291.32400000000001</v>
      </c>
      <c r="H41" s="383"/>
      <c r="I41" s="383"/>
      <c r="J41" s="383">
        <v>291.32</v>
      </c>
    </row>
    <row r="42" spans="1:10">
      <c r="A42" s="380">
        <v>1186</v>
      </c>
      <c r="B42" s="381">
        <v>45421</v>
      </c>
      <c r="C42" s="382" t="s">
        <v>253</v>
      </c>
      <c r="D42" s="382" t="s">
        <v>429</v>
      </c>
      <c r="E42" s="380">
        <v>1.2E-2</v>
      </c>
      <c r="F42" s="383"/>
      <c r="G42" s="383">
        <f>E42*C4</f>
        <v>291.32400000000001</v>
      </c>
      <c r="H42" s="383"/>
      <c r="I42" s="383"/>
      <c r="J42" s="383">
        <v>291.32</v>
      </c>
    </row>
    <row r="43" spans="1:10">
      <c r="A43" s="380">
        <v>1187</v>
      </c>
      <c r="B43" s="381">
        <v>45422</v>
      </c>
      <c r="C43" s="382" t="s">
        <v>253</v>
      </c>
      <c r="D43" s="382" t="s">
        <v>429</v>
      </c>
      <c r="E43" s="380">
        <v>7.4999999999999997E-3</v>
      </c>
      <c r="F43" s="383"/>
      <c r="G43" s="383"/>
      <c r="H43" s="383"/>
      <c r="I43" s="383">
        <f>E43*E4</f>
        <v>543.91499999999996</v>
      </c>
      <c r="J43" s="383">
        <v>543.91499999999996</v>
      </c>
    </row>
    <row r="44" spans="1:10">
      <c r="A44" s="380">
        <v>1262</v>
      </c>
      <c r="B44" s="381">
        <v>45434</v>
      </c>
      <c r="C44" s="382" t="s">
        <v>255</v>
      </c>
      <c r="D44" s="382" t="s">
        <v>195</v>
      </c>
      <c r="E44" s="380">
        <v>9.7078000000000008E-3</v>
      </c>
      <c r="F44" s="383"/>
      <c r="G44" s="383">
        <f>E44*C4</f>
        <v>235.67626060000001</v>
      </c>
      <c r="H44" s="383"/>
      <c r="I44" s="383"/>
      <c r="J44" s="383">
        <v>235.67599999999999</v>
      </c>
    </row>
    <row r="45" spans="1:10">
      <c r="A45" s="380">
        <v>1192</v>
      </c>
      <c r="B45" s="381">
        <v>45422</v>
      </c>
      <c r="C45" s="382" t="s">
        <v>146</v>
      </c>
      <c r="D45" s="382" t="s">
        <v>315</v>
      </c>
      <c r="E45" s="380">
        <v>4.4740000000000002E-2</v>
      </c>
      <c r="F45" s="383">
        <f>E45*B4</f>
        <v>5146.8448600000002</v>
      </c>
      <c r="G45" s="383"/>
      <c r="H45" s="383"/>
      <c r="I45" s="383"/>
      <c r="J45" s="383">
        <v>5146.8</v>
      </c>
    </row>
    <row r="46" spans="1:10">
      <c r="A46" s="380">
        <v>1193</v>
      </c>
      <c r="B46" s="381">
        <v>45422</v>
      </c>
      <c r="C46" s="382" t="s">
        <v>146</v>
      </c>
      <c r="D46" s="382" t="s">
        <v>315</v>
      </c>
      <c r="E46" s="380">
        <v>1.4909E-2</v>
      </c>
      <c r="F46" s="383"/>
      <c r="G46" s="383">
        <f>E46*C4</f>
        <v>361.94579300000004</v>
      </c>
      <c r="H46" s="383"/>
      <c r="I46" s="383"/>
      <c r="J46" s="383">
        <f>G46</f>
        <v>361.94579300000004</v>
      </c>
    </row>
    <row r="47" spans="1:10">
      <c r="A47" s="380">
        <v>1194</v>
      </c>
      <c r="B47" s="381">
        <v>45422</v>
      </c>
      <c r="C47" s="382" t="s">
        <v>146</v>
      </c>
      <c r="D47" s="382" t="s">
        <v>315</v>
      </c>
      <c r="E47" s="380">
        <v>4.8536999999999999E-3</v>
      </c>
      <c r="F47" s="383"/>
      <c r="G47" s="383"/>
      <c r="H47" s="383"/>
      <c r="I47" s="383">
        <f>E47*E4</f>
        <v>352.00003140000001</v>
      </c>
      <c r="J47" s="383">
        <f>I47</f>
        <v>352.00003140000001</v>
      </c>
    </row>
    <row r="48" spans="1:10">
      <c r="A48" s="380">
        <v>1191</v>
      </c>
      <c r="B48" s="381">
        <v>45422</v>
      </c>
      <c r="C48" s="382" t="s">
        <v>146</v>
      </c>
      <c r="D48" s="382" t="s">
        <v>315</v>
      </c>
      <c r="E48" s="380">
        <v>2.3666999999999998E-3</v>
      </c>
      <c r="F48" s="383"/>
      <c r="G48" s="383"/>
      <c r="H48" s="383">
        <f>E48*D4</f>
        <v>1232.5229258999998</v>
      </c>
      <c r="I48" s="383"/>
      <c r="J48" s="383">
        <f>H48</f>
        <v>1232.5229258999998</v>
      </c>
    </row>
    <row r="49" spans="1:10">
      <c r="A49" s="380">
        <v>1392</v>
      </c>
      <c r="B49" s="381">
        <v>45450</v>
      </c>
      <c r="C49" s="382" t="s">
        <v>153</v>
      </c>
      <c r="D49" s="382" t="s">
        <v>149</v>
      </c>
      <c r="E49" s="380">
        <v>2.7E-4</v>
      </c>
      <c r="F49" s="383">
        <f>E49*B4</f>
        <v>31.06053</v>
      </c>
      <c r="G49" s="383"/>
      <c r="H49" s="383"/>
      <c r="I49" s="383"/>
      <c r="J49" s="383">
        <f>F49</f>
        <v>31.06053</v>
      </c>
    </row>
    <row r="50" spans="1:10">
      <c r="A50" s="380">
        <v>1472</v>
      </c>
      <c r="B50" s="381">
        <v>45468</v>
      </c>
      <c r="C50" s="382" t="s">
        <v>321</v>
      </c>
      <c r="D50" s="382" t="s">
        <v>195</v>
      </c>
      <c r="E50" s="380">
        <v>4.6841000000000001E-3</v>
      </c>
      <c r="F50" s="380"/>
      <c r="G50" s="380"/>
      <c r="H50" s="380">
        <f>E50*D4</f>
        <v>2439.3715456999998</v>
      </c>
      <c r="I50" s="383"/>
      <c r="J50" s="383">
        <f>H50</f>
        <v>2439.3715456999998</v>
      </c>
    </row>
    <row r="51" spans="1:10">
      <c r="A51" s="380">
        <v>1473</v>
      </c>
      <c r="B51" s="381">
        <v>45468</v>
      </c>
      <c r="C51" s="382" t="s">
        <v>335</v>
      </c>
      <c r="D51" s="382" t="s">
        <v>195</v>
      </c>
      <c r="E51" s="380">
        <v>1.55233E-2</v>
      </c>
      <c r="F51" s="380"/>
      <c r="G51" s="380"/>
      <c r="H51" s="380"/>
      <c r="I51" s="383">
        <f>E51*E4</f>
        <v>1125.7807626000001</v>
      </c>
      <c r="J51" s="383">
        <f>I51</f>
        <v>1125.7807626000001</v>
      </c>
    </row>
    <row r="52" spans="1:10">
      <c r="A52" s="184"/>
      <c r="B52" s="185"/>
      <c r="C52" s="186"/>
      <c r="D52" s="382"/>
      <c r="E52" s="184"/>
      <c r="F52" s="184"/>
      <c r="G52" s="184"/>
      <c r="H52" s="187"/>
      <c r="I52" s="187"/>
      <c r="J52" s="187"/>
    </row>
    <row r="53" spans="1:10">
      <c r="A53" s="184"/>
      <c r="B53" s="185"/>
      <c r="C53" s="186"/>
      <c r="D53" s="186"/>
      <c r="E53" s="184"/>
      <c r="F53" s="184"/>
      <c r="G53" s="184"/>
      <c r="H53" s="184"/>
      <c r="I53" s="187"/>
      <c r="J53" s="187"/>
    </row>
    <row r="54" spans="1:10">
      <c r="A54" s="184"/>
      <c r="B54" s="185"/>
      <c r="C54" s="186"/>
      <c r="D54" s="186"/>
      <c r="E54" s="184"/>
      <c r="F54" s="184"/>
      <c r="G54" s="184"/>
      <c r="H54" s="184"/>
      <c r="I54" s="187"/>
      <c r="J54" s="187"/>
    </row>
    <row r="55" spans="1:10" ht="15" customHeight="1">
      <c r="A55" s="184"/>
      <c r="B55" s="185"/>
      <c r="C55" s="186"/>
      <c r="D55" s="186"/>
      <c r="E55" s="184"/>
      <c r="F55" s="184"/>
      <c r="G55" s="184"/>
      <c r="H55" s="184"/>
      <c r="I55" s="187"/>
      <c r="J55" s="187"/>
    </row>
    <row r="56" spans="1:10">
      <c r="A56" s="184"/>
      <c r="B56" s="185"/>
      <c r="C56" s="186"/>
      <c r="D56" s="186"/>
      <c r="E56" s="184"/>
      <c r="F56" s="184"/>
      <c r="G56" s="184"/>
      <c r="H56" s="184"/>
      <c r="I56" s="187"/>
      <c r="J56" s="187"/>
    </row>
    <row r="57" spans="1:10">
      <c r="A57" s="184"/>
      <c r="B57" s="185"/>
      <c r="C57" s="186"/>
      <c r="D57" s="186"/>
      <c r="E57" s="184"/>
      <c r="F57" s="184"/>
      <c r="G57" s="184"/>
      <c r="H57" s="184"/>
      <c r="I57" s="184"/>
      <c r="J57" s="184"/>
    </row>
    <row r="58" spans="1:10">
      <c r="A58" s="184"/>
      <c r="B58" s="185"/>
      <c r="C58" s="186"/>
      <c r="D58" s="186"/>
      <c r="E58" s="184"/>
      <c r="F58" s="184"/>
      <c r="G58" s="184"/>
      <c r="H58" s="184"/>
      <c r="I58" s="184"/>
      <c r="J58" s="184"/>
    </row>
    <row r="59" spans="1:10">
      <c r="A59" s="184"/>
      <c r="B59" s="185"/>
      <c r="C59" s="186"/>
      <c r="D59" s="186"/>
      <c r="E59" s="184"/>
      <c r="F59" s="184"/>
      <c r="G59" s="184"/>
      <c r="H59" s="184"/>
      <c r="I59" s="184"/>
      <c r="J59" s="184"/>
    </row>
    <row r="60" spans="1:10">
      <c r="A60" s="184"/>
      <c r="B60" s="185"/>
      <c r="C60" s="186"/>
      <c r="D60" s="186"/>
      <c r="E60" s="184"/>
      <c r="F60" s="184"/>
      <c r="G60" s="184"/>
      <c r="H60" s="184"/>
      <c r="I60" s="184"/>
      <c r="J60" s="184"/>
    </row>
    <row r="61" spans="1:10">
      <c r="A61" s="184"/>
      <c r="B61" s="185"/>
      <c r="C61" s="186"/>
      <c r="D61" s="186"/>
      <c r="E61" s="184"/>
      <c r="F61" s="184"/>
      <c r="G61" s="184"/>
      <c r="H61" s="184"/>
      <c r="I61" s="184"/>
      <c r="J61" s="184"/>
    </row>
    <row r="62" spans="1:10">
      <c r="A62" s="184"/>
      <c r="B62" s="185"/>
      <c r="C62" s="186"/>
      <c r="D62" s="186"/>
      <c r="E62" s="184"/>
      <c r="F62" s="184"/>
      <c r="G62" s="184"/>
      <c r="H62" s="184"/>
      <c r="I62" s="184"/>
      <c r="J62" s="184"/>
    </row>
    <row r="63" spans="1:10">
      <c r="A63" s="184"/>
      <c r="B63" s="185"/>
      <c r="C63" s="186"/>
      <c r="D63" s="186"/>
      <c r="E63" s="184"/>
      <c r="F63" s="184"/>
      <c r="G63" s="184"/>
      <c r="H63" s="184"/>
      <c r="I63" s="184"/>
      <c r="J63" s="184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3">
        <f>SUM(J10:J49)</f>
        <v>33387.045670899999</v>
      </c>
    </row>
    <row r="95" spans="6:8">
      <c r="F95" s="130"/>
      <c r="G95" s="130"/>
      <c r="H95" s="130"/>
    </row>
    <row r="96" spans="6:8">
      <c r="F96" s="130"/>
      <c r="G96" s="130"/>
      <c r="H96" s="130"/>
    </row>
    <row r="97" spans="6:8">
      <c r="F97" s="130"/>
      <c r="G97" s="130"/>
      <c r="H97" s="130"/>
    </row>
    <row r="98" spans="6:8">
      <c r="F98" s="130"/>
      <c r="G98" s="130"/>
      <c r="H98" s="130"/>
    </row>
    <row r="99" spans="6:8">
      <c r="F99" s="130"/>
      <c r="G99" s="130"/>
      <c r="H99" s="130"/>
    </row>
    <row r="100" spans="6:8">
      <c r="F100" s="130"/>
      <c r="G100" s="130"/>
      <c r="H100" s="130"/>
    </row>
    <row r="101" spans="6:8">
      <c r="F101" s="130"/>
      <c r="G101" s="130"/>
      <c r="H101" s="130"/>
    </row>
    <row r="102" spans="6:8">
      <c r="F102" s="130"/>
      <c r="G102" s="130"/>
      <c r="H102" s="130"/>
    </row>
    <row r="103" spans="6:8">
      <c r="F103" s="131"/>
      <c r="G103" s="131"/>
      <c r="H103" s="131"/>
    </row>
    <row r="104" spans="6:8">
      <c r="F104" s="131"/>
      <c r="G104" s="131"/>
      <c r="H104" s="131"/>
    </row>
    <row r="105" spans="6:8">
      <c r="F105" s="130"/>
      <c r="G105" s="130"/>
      <c r="H105" s="130"/>
    </row>
    <row r="106" spans="6:8">
      <c r="F106" s="130"/>
      <c r="G106" s="130"/>
      <c r="H106" s="130"/>
    </row>
    <row r="107" spans="6:8">
      <c r="F107" s="130"/>
      <c r="G107" s="130"/>
      <c r="H107" s="130"/>
    </row>
    <row r="108" spans="6:8">
      <c r="F108" s="130"/>
      <c r="G108" s="130"/>
      <c r="H108" s="130"/>
    </row>
    <row r="109" spans="6:8">
      <c r="F109" s="130"/>
      <c r="G109" s="130"/>
      <c r="H109" s="130"/>
    </row>
    <row r="110" spans="6:8">
      <c r="F110" s="130"/>
      <c r="G110" s="130"/>
      <c r="H110" s="130"/>
    </row>
    <row r="111" spans="6:8">
      <c r="F111" s="130"/>
      <c r="G111" s="130"/>
    </row>
  </sheetData>
  <mergeCells count="1">
    <mergeCell ref="A8:H8"/>
  </mergeCells>
  <pageMargins left="0.7" right="0.7" top="0.75" bottom="0.75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38"/>
  <sheetViews>
    <sheetView showGridLines="0" zoomScale="85" zoomScaleNormal="85" workbookViewId="0">
      <pane ySplit="1" topLeftCell="A44" activePane="bottomLeft" state="frozen"/>
      <selection activeCell="K154" sqref="K154"/>
      <selection pane="bottomLeft" activeCell="K154" sqref="K154"/>
    </sheetView>
  </sheetViews>
  <sheetFormatPr baseColWidth="10" defaultColWidth="11.42578125" defaultRowHeight="15"/>
  <cols>
    <col min="1" max="1" width="11.5703125" style="6" customWidth="1"/>
    <col min="2" max="2" width="8.7109375" style="6" bestFit="1" customWidth="1"/>
    <col min="3" max="3" width="9.140625" style="6" customWidth="1"/>
    <col min="4" max="4" width="17.140625" style="6" bestFit="1" customWidth="1"/>
    <col min="5" max="5" width="54.85546875" style="6" customWidth="1"/>
    <col min="6" max="6" width="14.5703125" style="6" bestFit="1" customWidth="1"/>
    <col min="7" max="7" width="20.140625" style="6" customWidth="1"/>
    <col min="8" max="8" width="12.42578125" style="6" bestFit="1" customWidth="1"/>
    <col min="9" max="9" width="21.42578125" style="6" bestFit="1" customWidth="1"/>
    <col min="10" max="10" width="15.140625" style="6" bestFit="1" customWidth="1"/>
    <col min="11" max="11" width="14.5703125" style="6" bestFit="1" customWidth="1"/>
    <col min="12" max="12" width="12.42578125" style="6" bestFit="1" customWidth="1"/>
    <col min="13" max="13" width="17.7109375" style="256" bestFit="1" customWidth="1"/>
    <col min="14" max="14" width="11.28515625" style="7" bestFit="1" customWidth="1"/>
    <col min="15" max="15" width="14.85546875" style="6" customWidth="1"/>
    <col min="16" max="16384" width="11.42578125" style="6"/>
  </cols>
  <sheetData>
    <row r="1" spans="1:17" ht="15.75" thickBot="1">
      <c r="A1" s="194" t="s">
        <v>24</v>
      </c>
      <c r="B1" s="194" t="s">
        <v>25</v>
      </c>
      <c r="C1" s="194" t="s">
        <v>26</v>
      </c>
      <c r="D1" s="194" t="s">
        <v>27</v>
      </c>
      <c r="E1" s="194" t="s">
        <v>28</v>
      </c>
      <c r="F1" s="194" t="s">
        <v>29</v>
      </c>
      <c r="G1" s="194" t="s">
        <v>30</v>
      </c>
      <c r="H1" s="194" t="s">
        <v>31</v>
      </c>
      <c r="I1" s="194" t="s">
        <v>32</v>
      </c>
      <c r="J1" s="194" t="s">
        <v>33</v>
      </c>
      <c r="K1" s="194" t="s">
        <v>71</v>
      </c>
      <c r="L1" s="194" t="s">
        <v>34</v>
      </c>
      <c r="M1" s="247" t="s">
        <v>35</v>
      </c>
      <c r="N1" s="195" t="s">
        <v>36</v>
      </c>
      <c r="O1" s="196" t="s">
        <v>37</v>
      </c>
      <c r="P1" s="196" t="s">
        <v>66</v>
      </c>
      <c r="Q1" s="54" t="s">
        <v>67</v>
      </c>
    </row>
    <row r="2" spans="1:17">
      <c r="A2" s="2" t="s">
        <v>38</v>
      </c>
      <c r="B2" s="1" t="s">
        <v>39</v>
      </c>
      <c r="C2" s="1" t="s">
        <v>14</v>
      </c>
      <c r="D2" s="1" t="s">
        <v>40</v>
      </c>
      <c r="E2" s="1" t="str">
        <f>+'CUOTA INDUSTRIAL'!C$6</f>
        <v>CAMANCHACA PESCA SUR S.A.</v>
      </c>
      <c r="F2" s="4">
        <v>45292</v>
      </c>
      <c r="G2" s="4">
        <v>45565</v>
      </c>
      <c r="H2" s="3">
        <f>'CUOTA INDUSTRIAL'!F6</f>
        <v>9446.5319999999992</v>
      </c>
      <c r="I2" s="3">
        <f>'CUOTA INDUSTRIAL'!G6</f>
        <v>-10496.114000000001</v>
      </c>
      <c r="J2" s="3">
        <f>'CUOTA INDUSTRIAL'!H6</f>
        <v>-1049.5820000000022</v>
      </c>
      <c r="K2" s="3">
        <f>'CUOTA INDUSTRIAL'!I6</f>
        <v>0</v>
      </c>
      <c r="L2" s="3">
        <f>'CUOTA INDUSTRIAL'!J6</f>
        <v>-1049.5820000000022</v>
      </c>
      <c r="M2" s="248">
        <f>'CUOTA INDUSTRIAL'!K6</f>
        <v>0</v>
      </c>
      <c r="N2" s="4" t="s">
        <v>56</v>
      </c>
      <c r="O2" s="5">
        <f>RESUMEN!$B$3</f>
        <v>45481</v>
      </c>
      <c r="P2" s="1">
        <f t="shared" ref="P2:P77" si="0">YEAR(O2)</f>
        <v>2024</v>
      </c>
      <c r="Q2" s="156"/>
    </row>
    <row r="3" spans="1:17">
      <c r="A3" s="2" t="s">
        <v>38</v>
      </c>
      <c r="B3" s="1" t="s">
        <v>39</v>
      </c>
      <c r="C3" s="1" t="s">
        <v>14</v>
      </c>
      <c r="D3" s="1" t="s">
        <v>40</v>
      </c>
      <c r="E3" s="1" t="str">
        <f>+'CUOTA INDUSTRIAL'!C$6</f>
        <v>CAMANCHACA PESCA SUR S.A.</v>
      </c>
      <c r="F3" s="4">
        <v>45566</v>
      </c>
      <c r="G3" s="4">
        <v>45657</v>
      </c>
      <c r="H3" s="3">
        <f>'CUOTA INDUSTRIAL'!F7</f>
        <v>1049.625</v>
      </c>
      <c r="I3" s="3">
        <f>'CUOTA INDUSTRIAL'!G7</f>
        <v>0</v>
      </c>
      <c r="J3" s="3">
        <f>'CUOTA INDUSTRIAL'!H7</f>
        <v>4.2999999997846317E-2</v>
      </c>
      <c r="K3" s="3">
        <f>'CUOTA INDUSTRIAL'!I7</f>
        <v>0</v>
      </c>
      <c r="L3" s="3">
        <f>'CUOTA INDUSTRIAL'!J7</f>
        <v>4.2999999997846317E-2</v>
      </c>
      <c r="M3" s="248">
        <f>'CUOTA INDUSTRIAL'!K7</f>
        <v>0</v>
      </c>
      <c r="N3" s="4" t="s">
        <v>56</v>
      </c>
      <c r="O3" s="5">
        <f>RESUMEN!$B$3</f>
        <v>45481</v>
      </c>
      <c r="P3" s="1">
        <f t="shared" ref="P3" si="1">YEAR(O3)</f>
        <v>2024</v>
      </c>
      <c r="Q3" s="23"/>
    </row>
    <row r="4" spans="1:17">
      <c r="A4" s="2" t="s">
        <v>38</v>
      </c>
      <c r="B4" s="1" t="s">
        <v>39</v>
      </c>
      <c r="C4" s="1" t="s">
        <v>14</v>
      </c>
      <c r="D4" s="1" t="s">
        <v>40</v>
      </c>
      <c r="E4" s="1" t="str">
        <f>+'CUOTA INDUSTRIAL'!C$6</f>
        <v>CAMANCHACA PESCA SUR S.A.</v>
      </c>
      <c r="F4" s="4">
        <v>45292</v>
      </c>
      <c r="G4" s="4">
        <v>45657</v>
      </c>
      <c r="H4" s="3">
        <f>'CUOTA INDUSTRIAL'!$L$6</f>
        <v>10496.156999999999</v>
      </c>
      <c r="I4" s="3">
        <f>'CUOTA INDUSTRIAL'!M6</f>
        <v>-10496.114000000001</v>
      </c>
      <c r="J4" s="3">
        <f>'CUOTA INDUSTRIAL'!N6</f>
        <v>4.2999999997846317E-2</v>
      </c>
      <c r="K4" s="3">
        <f>'CUOTA INDUSTRIAL'!O6</f>
        <v>0</v>
      </c>
      <c r="L4" s="3">
        <f>'CUOTA INDUSTRIAL'!P6</f>
        <v>4.2999999997846317E-2</v>
      </c>
      <c r="M4" s="249">
        <f>'CUOTA INDUSTRIAL'!Q6</f>
        <v>0</v>
      </c>
      <c r="N4" s="4" t="s">
        <v>56</v>
      </c>
      <c r="O4" s="5">
        <f>RESUMEN!$B$3</f>
        <v>45481</v>
      </c>
      <c r="P4" s="1">
        <f t="shared" ref="P4" si="2">YEAR(O4)</f>
        <v>2024</v>
      </c>
      <c r="Q4" s="23"/>
    </row>
    <row r="5" spans="1:17">
      <c r="A5" s="2" t="s">
        <v>38</v>
      </c>
      <c r="B5" s="1" t="s">
        <v>39</v>
      </c>
      <c r="C5" s="1" t="s">
        <v>14</v>
      </c>
      <c r="D5" s="1" t="s">
        <v>40</v>
      </c>
      <c r="E5" s="1" t="str">
        <f>+'CUOTA INDUSTRIAL'!C$8</f>
        <v>CAMANCHACA S.A.</v>
      </c>
      <c r="F5" s="4">
        <v>45292</v>
      </c>
      <c r="G5" s="4">
        <v>45565</v>
      </c>
      <c r="H5" s="3">
        <f>'CUOTA INDUSTRIAL'!F8</f>
        <v>10748.495999999999</v>
      </c>
      <c r="I5" s="3">
        <f>'CUOTA INDUSTRIAL'!G8</f>
        <v>4396.8</v>
      </c>
      <c r="J5" s="3">
        <f>'CUOTA INDUSTRIAL'!H8</f>
        <v>15145.295999999998</v>
      </c>
      <c r="K5" s="3">
        <f>'CUOTA INDUSTRIAL'!I8</f>
        <v>14868.511</v>
      </c>
      <c r="L5" s="3">
        <f>'CUOTA INDUSTRIAL'!J8</f>
        <v>276.78499999999804</v>
      </c>
      <c r="M5" s="249">
        <f>'CUOTA INDUSTRIAL'!K8</f>
        <v>0.9817246886425991</v>
      </c>
      <c r="N5" s="4" t="s">
        <v>56</v>
      </c>
      <c r="O5" s="5">
        <f>RESUMEN!$B$3</f>
        <v>45481</v>
      </c>
      <c r="P5" s="1">
        <f t="shared" si="0"/>
        <v>2024</v>
      </c>
      <c r="Q5" s="23"/>
    </row>
    <row r="6" spans="1:17">
      <c r="A6" s="2" t="s">
        <v>38</v>
      </c>
      <c r="B6" s="1" t="s">
        <v>39</v>
      </c>
      <c r="C6" s="1" t="s">
        <v>14</v>
      </c>
      <c r="D6" s="1" t="s">
        <v>40</v>
      </c>
      <c r="E6" s="1" t="str">
        <f>+'CUOTA INDUSTRIAL'!C$8</f>
        <v>CAMANCHACA S.A.</v>
      </c>
      <c r="F6" s="4">
        <v>45566</v>
      </c>
      <c r="G6" s="4">
        <v>45657</v>
      </c>
      <c r="H6" s="3">
        <f>'CUOTA INDUSTRIAL'!F9</f>
        <v>1194.289</v>
      </c>
      <c r="I6" s="3">
        <f>'CUOTA INDUSTRIAL'!G9</f>
        <v>0</v>
      </c>
      <c r="J6" s="3">
        <f>'CUOTA INDUSTRIAL'!H9</f>
        <v>1471.073999999998</v>
      </c>
      <c r="K6" s="3">
        <f>'CUOTA INDUSTRIAL'!I9</f>
        <v>0</v>
      </c>
      <c r="L6" s="3">
        <f>'CUOTA INDUSTRIAL'!J9</f>
        <v>1471.073999999998</v>
      </c>
      <c r="M6" s="249">
        <f>'CUOTA INDUSTRIAL'!K9</f>
        <v>0</v>
      </c>
      <c r="N6" s="4" t="s">
        <v>56</v>
      </c>
      <c r="O6" s="5">
        <f>RESUMEN!$B$3</f>
        <v>45481</v>
      </c>
      <c r="P6" s="1">
        <f t="shared" si="0"/>
        <v>2024</v>
      </c>
      <c r="Q6" s="23"/>
    </row>
    <row r="7" spans="1:17">
      <c r="A7" s="2" t="s">
        <v>38</v>
      </c>
      <c r="B7" s="1" t="s">
        <v>39</v>
      </c>
      <c r="C7" s="1" t="s">
        <v>14</v>
      </c>
      <c r="D7" s="1" t="s">
        <v>40</v>
      </c>
      <c r="E7" s="1" t="str">
        <f>+'CUOTA INDUSTRIAL'!C$8</f>
        <v>CAMANCHACA S.A.</v>
      </c>
      <c r="F7" s="4">
        <v>45292</v>
      </c>
      <c r="G7" s="4">
        <v>45657</v>
      </c>
      <c r="H7" s="3">
        <f>'CUOTA INDUSTRIAL'!$L$8</f>
        <v>11942.785</v>
      </c>
      <c r="I7" s="3">
        <f>'CUOTA INDUSTRIAL'!M8</f>
        <v>4396.8</v>
      </c>
      <c r="J7" s="3">
        <f>'CUOTA INDUSTRIAL'!N8</f>
        <v>16339.584999999999</v>
      </c>
      <c r="K7" s="3">
        <f>'CUOTA INDUSTRIAL'!O8</f>
        <v>14868.511</v>
      </c>
      <c r="L7" s="3">
        <f>'CUOTA INDUSTRIAL'!P8</f>
        <v>1471.0739999999987</v>
      </c>
      <c r="M7" s="249">
        <f>'CUOTA INDUSTRIAL'!Q8</f>
        <v>0.90996870483552683</v>
      </c>
      <c r="N7" s="4" t="s">
        <v>56</v>
      </c>
      <c r="O7" s="5">
        <f>RESUMEN!$B$3</f>
        <v>45481</v>
      </c>
      <c r="P7" s="1">
        <f t="shared" si="0"/>
        <v>2024</v>
      </c>
      <c r="Q7" s="23"/>
    </row>
    <row r="8" spans="1:17">
      <c r="A8" s="2" t="s">
        <v>38</v>
      </c>
      <c r="B8" s="1" t="s">
        <v>39</v>
      </c>
      <c r="C8" s="1" t="s">
        <v>14</v>
      </c>
      <c r="D8" s="1" t="s">
        <v>40</v>
      </c>
      <c r="E8" s="1" t="str">
        <f>'CUOTA INDUSTRIAL'!$C$10</f>
        <v>CORPESCA S.A.</v>
      </c>
      <c r="F8" s="4">
        <v>45292</v>
      </c>
      <c r="G8" s="4">
        <v>45565</v>
      </c>
      <c r="H8" s="3">
        <f>'CUOTA INDUSTRIAL'!F10</f>
        <v>72624.097999999998</v>
      </c>
      <c r="I8" s="3">
        <f>'CUOTA INDUSTRIAL'!G10</f>
        <v>-2000</v>
      </c>
      <c r="J8" s="3">
        <f>'CUOTA INDUSTRIAL'!H10</f>
        <v>70624.097999999998</v>
      </c>
      <c r="K8" s="3">
        <f>'CUOTA INDUSTRIAL'!I10</f>
        <v>76809.854999999996</v>
      </c>
      <c r="L8" s="3">
        <f>'CUOTA INDUSTRIAL'!J10</f>
        <v>-6185.7569999999978</v>
      </c>
      <c r="M8" s="249">
        <f>'CUOTA INDUSTRIAL'!K10</f>
        <v>1.0875870584570155</v>
      </c>
      <c r="N8" s="4" t="s">
        <v>56</v>
      </c>
      <c r="O8" s="5">
        <f>RESUMEN!$B$3</f>
        <v>45481</v>
      </c>
      <c r="P8" s="1">
        <f t="shared" si="0"/>
        <v>2024</v>
      </c>
      <c r="Q8" s="1"/>
    </row>
    <row r="9" spans="1:17">
      <c r="A9" s="2" t="s">
        <v>38</v>
      </c>
      <c r="B9" s="1" t="s">
        <v>39</v>
      </c>
      <c r="C9" s="1" t="s">
        <v>14</v>
      </c>
      <c r="D9" s="1" t="s">
        <v>40</v>
      </c>
      <c r="E9" s="1" t="str">
        <f>'CUOTA INDUSTRIAL'!$C$10</f>
        <v>CORPESCA S.A.</v>
      </c>
      <c r="F9" s="4">
        <v>45566</v>
      </c>
      <c r="G9" s="4">
        <v>45657</v>
      </c>
      <c r="H9" s="3">
        <f>'CUOTA INDUSTRIAL'!F11</f>
        <v>8069.4229999999998</v>
      </c>
      <c r="I9" s="3">
        <f>'CUOTA INDUSTRIAL'!G11</f>
        <v>0</v>
      </c>
      <c r="J9" s="3">
        <f>'CUOTA INDUSTRIAL'!H11</f>
        <v>1883.666000000002</v>
      </c>
      <c r="K9" s="3">
        <f>'CUOTA INDUSTRIAL'!I11</f>
        <v>0</v>
      </c>
      <c r="L9" s="3">
        <f>'CUOTA INDUSTRIAL'!J11</f>
        <v>1883.666000000002</v>
      </c>
      <c r="M9" s="249">
        <f>'CUOTA INDUSTRIAL'!K11</f>
        <v>0</v>
      </c>
      <c r="N9" s="4" t="s">
        <v>56</v>
      </c>
      <c r="O9" s="5">
        <f>RESUMEN!$B$3</f>
        <v>45481</v>
      </c>
      <c r="P9" s="1">
        <f t="shared" si="0"/>
        <v>2024</v>
      </c>
      <c r="Q9" s="1"/>
    </row>
    <row r="10" spans="1:17">
      <c r="A10" s="2" t="s">
        <v>38</v>
      </c>
      <c r="B10" s="1" t="s">
        <v>39</v>
      </c>
      <c r="C10" s="1" t="s">
        <v>14</v>
      </c>
      <c r="D10" s="1" t="s">
        <v>40</v>
      </c>
      <c r="E10" s="1" t="str">
        <f>'CUOTA INDUSTRIAL'!$C$10</f>
        <v>CORPESCA S.A.</v>
      </c>
      <c r="F10" s="4">
        <v>45292</v>
      </c>
      <c r="G10" s="4">
        <v>45657</v>
      </c>
      <c r="H10" s="3">
        <f>'CUOTA INDUSTRIAL'!$L$10</f>
        <v>80693.520999999993</v>
      </c>
      <c r="I10" s="3">
        <f>'CUOTA INDUSTRIAL'!M10</f>
        <v>-2000</v>
      </c>
      <c r="J10" s="3">
        <f>'CUOTA INDUSTRIAL'!N10</f>
        <v>78693.520999999993</v>
      </c>
      <c r="K10" s="3">
        <f>'CUOTA INDUSTRIAL'!O10</f>
        <v>76809.854999999996</v>
      </c>
      <c r="L10" s="3">
        <f>'CUOTA INDUSTRIAL'!P10</f>
        <v>1883.6659999999974</v>
      </c>
      <c r="M10" s="249">
        <f>'CUOTA INDUSTRIAL'!Q10</f>
        <v>0.97606326447128988</v>
      </c>
      <c r="N10" s="4" t="s">
        <v>56</v>
      </c>
      <c r="O10" s="5">
        <f>RESUMEN!$B$3</f>
        <v>45481</v>
      </c>
      <c r="P10" s="1">
        <f t="shared" si="0"/>
        <v>2024</v>
      </c>
      <c r="Q10" s="1"/>
    </row>
    <row r="11" spans="1:17">
      <c r="A11" s="2" t="s">
        <v>38</v>
      </c>
      <c r="B11" s="1" t="s">
        <v>39</v>
      </c>
      <c r="C11" s="1" t="s">
        <v>14</v>
      </c>
      <c r="D11" s="1" t="s">
        <v>40</v>
      </c>
      <c r="E11" s="1" t="str">
        <f>'CUOTA INDUSTRIAL'!$C$12</f>
        <v>ESPACIO PESQUERO SpA</v>
      </c>
      <c r="F11" s="4">
        <v>45292</v>
      </c>
      <c r="G11" s="4">
        <v>45565</v>
      </c>
      <c r="H11" s="3">
        <f>'CUOTA INDUSTRIAL'!F12</f>
        <v>5.1769999999999996</v>
      </c>
      <c r="I11" s="3">
        <f>'CUOTA INDUSTRIAL'!G12</f>
        <v>31.061</v>
      </c>
      <c r="J11" s="3">
        <f>'CUOTA INDUSTRIAL'!H12</f>
        <v>36.238</v>
      </c>
      <c r="K11" s="3">
        <f>'CUOTA INDUSTRIAL'!I12</f>
        <v>0</v>
      </c>
      <c r="L11" s="3">
        <f>'CUOTA INDUSTRIAL'!J12</f>
        <v>36.238</v>
      </c>
      <c r="M11" s="249">
        <f>'CUOTA INDUSTRIAL'!K12</f>
        <v>0</v>
      </c>
      <c r="N11" s="4" t="s">
        <v>56</v>
      </c>
      <c r="O11" s="5">
        <f>RESUMEN!$B$3</f>
        <v>45481</v>
      </c>
      <c r="P11" s="1">
        <f t="shared" si="0"/>
        <v>2024</v>
      </c>
      <c r="Q11" s="1"/>
    </row>
    <row r="12" spans="1:17">
      <c r="A12" s="2" t="s">
        <v>38</v>
      </c>
      <c r="B12" s="1" t="s">
        <v>39</v>
      </c>
      <c r="C12" s="1" t="s">
        <v>14</v>
      </c>
      <c r="D12" s="1" t="s">
        <v>40</v>
      </c>
      <c r="E12" s="1" t="str">
        <f>'CUOTA INDUSTRIAL'!$C$12</f>
        <v>ESPACIO PESQUERO SpA</v>
      </c>
      <c r="F12" s="4">
        <v>45566</v>
      </c>
      <c r="G12" s="4">
        <v>45657</v>
      </c>
      <c r="H12" s="3">
        <f>'CUOTA INDUSTRIAL'!F13</f>
        <v>0.57499999999999996</v>
      </c>
      <c r="I12" s="3">
        <f>'CUOTA INDUSTRIAL'!G13</f>
        <v>0</v>
      </c>
      <c r="J12" s="3">
        <f>'CUOTA INDUSTRIAL'!H13</f>
        <v>36.813000000000002</v>
      </c>
      <c r="K12" s="3">
        <f>'CUOTA INDUSTRIAL'!I13</f>
        <v>0</v>
      </c>
      <c r="L12" s="3">
        <f>'CUOTA INDUSTRIAL'!J13</f>
        <v>36.813000000000002</v>
      </c>
      <c r="M12" s="249">
        <f>'CUOTA INDUSTRIAL'!K13</f>
        <v>0</v>
      </c>
      <c r="N12" s="4" t="s">
        <v>56</v>
      </c>
      <c r="O12" s="5">
        <f>RESUMEN!$B$3</f>
        <v>45481</v>
      </c>
      <c r="P12" s="1">
        <f t="shared" si="0"/>
        <v>2024</v>
      </c>
      <c r="Q12" s="1"/>
    </row>
    <row r="13" spans="1:17">
      <c r="A13" s="2" t="s">
        <v>38</v>
      </c>
      <c r="B13" s="1" t="s">
        <v>39</v>
      </c>
      <c r="C13" s="1" t="s">
        <v>14</v>
      </c>
      <c r="D13" s="1" t="s">
        <v>40</v>
      </c>
      <c r="E13" s="1" t="str">
        <f>'CUOTA INDUSTRIAL'!$C$12</f>
        <v>ESPACIO PESQUERO SpA</v>
      </c>
      <c r="F13" s="4">
        <v>45292</v>
      </c>
      <c r="G13" s="4">
        <v>45657</v>
      </c>
      <c r="H13" s="3">
        <f>'CUOTA INDUSTRIAL'!$L$12</f>
        <v>5.7519999999999998</v>
      </c>
      <c r="I13" s="3">
        <f>'CUOTA INDUSTRIAL'!M12</f>
        <v>31.061</v>
      </c>
      <c r="J13" s="3">
        <f>'CUOTA INDUSTRIAL'!N12</f>
        <v>36.813000000000002</v>
      </c>
      <c r="K13" s="3">
        <f>'CUOTA INDUSTRIAL'!O12</f>
        <v>0</v>
      </c>
      <c r="L13" s="3">
        <f>'CUOTA INDUSTRIAL'!P12</f>
        <v>36.813000000000002</v>
      </c>
      <c r="M13" s="249">
        <f>'CUOTA INDUSTRIAL'!Q12</f>
        <v>0</v>
      </c>
      <c r="N13" s="4" t="s">
        <v>56</v>
      </c>
      <c r="O13" s="5">
        <f>RESUMEN!$B$3</f>
        <v>45481</v>
      </c>
      <c r="P13" s="1">
        <f t="shared" si="0"/>
        <v>2024</v>
      </c>
      <c r="Q13" s="1"/>
    </row>
    <row r="14" spans="1:17">
      <c r="A14" s="2" t="s">
        <v>38</v>
      </c>
      <c r="B14" s="1" t="s">
        <v>39</v>
      </c>
      <c r="C14" s="1" t="s">
        <v>14</v>
      </c>
      <c r="D14" s="1" t="s">
        <v>40</v>
      </c>
      <c r="E14" s="1" t="str">
        <f>'CUOTA INDUSTRIAL'!$C$14</f>
        <v>FOODCORP CHILE S.A.</v>
      </c>
      <c r="F14" s="4">
        <v>45292</v>
      </c>
      <c r="G14" s="4">
        <v>45565</v>
      </c>
      <c r="H14" s="3">
        <f>'CUOTA INDUSTRIAL'!F14</f>
        <v>4004.7330000000002</v>
      </c>
      <c r="I14" s="3">
        <f>'CUOTA INDUSTRIAL'!G14</f>
        <v>-4449.7085000000006</v>
      </c>
      <c r="J14" s="3">
        <f>'CUOTA INDUSTRIAL'!H14</f>
        <v>-444.97550000000047</v>
      </c>
      <c r="K14" s="3">
        <f>'CUOTA INDUSTRIAL'!I14</f>
        <v>0</v>
      </c>
      <c r="L14" s="3">
        <f>'CUOTA INDUSTRIAL'!J14</f>
        <v>-444.97550000000047</v>
      </c>
      <c r="M14" s="249">
        <f>'CUOTA INDUSTRIAL'!K14</f>
        <v>0</v>
      </c>
      <c r="N14" s="4" t="s">
        <v>56</v>
      </c>
      <c r="O14" s="5">
        <f>RESUMEN!$B$3</f>
        <v>45481</v>
      </c>
      <c r="P14" s="1">
        <f t="shared" si="0"/>
        <v>2024</v>
      </c>
      <c r="Q14" s="1"/>
    </row>
    <row r="15" spans="1:17">
      <c r="A15" s="2" t="s">
        <v>38</v>
      </c>
      <c r="B15" s="1" t="s">
        <v>39</v>
      </c>
      <c r="C15" s="1" t="s">
        <v>14</v>
      </c>
      <c r="D15" s="1" t="s">
        <v>40</v>
      </c>
      <c r="E15" s="1" t="str">
        <f>'CUOTA INDUSTRIAL'!$C$14</f>
        <v>FOODCORP CHILE S.A.</v>
      </c>
      <c r="F15" s="4">
        <v>45566</v>
      </c>
      <c r="G15" s="4">
        <v>45657</v>
      </c>
      <c r="H15" s="3">
        <f>'CUOTA INDUSTRIAL'!F15</f>
        <v>444.97500000000002</v>
      </c>
      <c r="I15" s="3">
        <f>'CUOTA INDUSTRIAL'!G15</f>
        <v>0</v>
      </c>
      <c r="J15" s="3">
        <f>'CUOTA INDUSTRIAL'!H15</f>
        <v>-5.0000000044292392E-4</v>
      </c>
      <c r="K15" s="3">
        <f>'CUOTA INDUSTRIAL'!I15</f>
        <v>0</v>
      </c>
      <c r="L15" s="3">
        <f>'CUOTA INDUSTRIAL'!J15</f>
        <v>-5.0000000044292392E-4</v>
      </c>
      <c r="M15" s="249">
        <f>'CUOTA INDUSTRIAL'!K15</f>
        <v>0</v>
      </c>
      <c r="N15" s="4" t="s">
        <v>56</v>
      </c>
      <c r="O15" s="5">
        <f>RESUMEN!$B$3</f>
        <v>45481</v>
      </c>
      <c r="P15" s="1">
        <f t="shared" si="0"/>
        <v>2024</v>
      </c>
      <c r="Q15" s="1"/>
    </row>
    <row r="16" spans="1:17">
      <c r="A16" s="2" t="s">
        <v>38</v>
      </c>
      <c r="B16" s="1" t="s">
        <v>39</v>
      </c>
      <c r="C16" s="1" t="s">
        <v>14</v>
      </c>
      <c r="D16" s="1" t="s">
        <v>40</v>
      </c>
      <c r="E16" s="1" t="str">
        <f>'CUOTA INDUSTRIAL'!$C$14</f>
        <v>FOODCORP CHILE S.A.</v>
      </c>
      <c r="F16" s="4">
        <v>45292</v>
      </c>
      <c r="G16" s="4">
        <v>45657</v>
      </c>
      <c r="H16" s="3">
        <f>'CUOTA INDUSTRIAL'!$L$14</f>
        <v>4449.7080000000005</v>
      </c>
      <c r="I16" s="3">
        <f>'CUOTA INDUSTRIAL'!M14</f>
        <v>-4449.7085000000006</v>
      </c>
      <c r="J16" s="3">
        <f>'CUOTA INDUSTRIAL'!N14</f>
        <v>-5.0000000010186341E-4</v>
      </c>
      <c r="K16" s="3">
        <f>'CUOTA INDUSTRIAL'!O14</f>
        <v>0</v>
      </c>
      <c r="L16" s="3">
        <f>'CUOTA INDUSTRIAL'!P14</f>
        <v>-5.0000000010186341E-4</v>
      </c>
      <c r="M16" s="249">
        <f>'CUOTA INDUSTRIAL'!Q14</f>
        <v>0</v>
      </c>
      <c r="N16" s="4" t="s">
        <v>56</v>
      </c>
      <c r="O16" s="5">
        <f>RESUMEN!$B$3</f>
        <v>45481</v>
      </c>
      <c r="P16" s="1">
        <f t="shared" si="0"/>
        <v>2024</v>
      </c>
      <c r="Q16" s="1"/>
    </row>
    <row r="17" spans="1:17">
      <c r="A17" s="2" t="s">
        <v>38</v>
      </c>
      <c r="B17" s="1" t="s">
        <v>39</v>
      </c>
      <c r="C17" s="1" t="s">
        <v>14</v>
      </c>
      <c r="D17" s="1" t="s">
        <v>40</v>
      </c>
      <c r="E17" s="1" t="str">
        <f>'CUOTA INDUSTRIAL'!$C$16</f>
        <v>LANDES S.A. SOC. PESQ.</v>
      </c>
      <c r="F17" s="4">
        <v>45292</v>
      </c>
      <c r="G17" s="4">
        <v>45565</v>
      </c>
      <c r="H17" s="3">
        <f>'CUOTA INDUSTRIAL'!F16</f>
        <v>1009.466</v>
      </c>
      <c r="I17" s="3">
        <f>'CUOTA INDUSTRIAL'!G16</f>
        <v>-1121.6300000000001</v>
      </c>
      <c r="J17" s="3">
        <f>'CUOTA INDUSTRIAL'!H16</f>
        <v>-112.1640000000001</v>
      </c>
      <c r="K17" s="3">
        <f>'CUOTA INDUSTRIAL'!I16</f>
        <v>0</v>
      </c>
      <c r="L17" s="3">
        <f>'CUOTA INDUSTRIAL'!J16</f>
        <v>-112.1640000000001</v>
      </c>
      <c r="M17" s="249">
        <f>'CUOTA INDUSTRIAL'!K16</f>
        <v>0</v>
      </c>
      <c r="N17" s="4" t="s">
        <v>56</v>
      </c>
      <c r="O17" s="5">
        <f>RESUMEN!$B$3</f>
        <v>45481</v>
      </c>
      <c r="P17" s="1">
        <f t="shared" si="0"/>
        <v>2024</v>
      </c>
      <c r="Q17" s="1"/>
    </row>
    <row r="18" spans="1:17">
      <c r="A18" s="2" t="s">
        <v>38</v>
      </c>
      <c r="B18" s="1" t="s">
        <v>39</v>
      </c>
      <c r="C18" s="1" t="s">
        <v>14</v>
      </c>
      <c r="D18" s="1" t="s">
        <v>40</v>
      </c>
      <c r="E18" s="1" t="str">
        <f>'CUOTA INDUSTRIAL'!$C$16</f>
        <v>LANDES S.A. SOC. PESQ.</v>
      </c>
      <c r="F18" s="4">
        <v>45566</v>
      </c>
      <c r="G18" s="4">
        <v>45657</v>
      </c>
      <c r="H18" s="3">
        <f>'CUOTA INDUSTRIAL'!F17</f>
        <v>112.164</v>
      </c>
      <c r="I18" s="3">
        <f>'CUOTA INDUSTRIAL'!G17</f>
        <v>0</v>
      </c>
      <c r="J18" s="3">
        <f>'CUOTA INDUSTRIAL'!H17</f>
        <v>0</v>
      </c>
      <c r="K18" s="3">
        <f>'CUOTA INDUSTRIAL'!I17</f>
        <v>0</v>
      </c>
      <c r="L18" s="3">
        <f>'CUOTA INDUSTRIAL'!J17</f>
        <v>0</v>
      </c>
      <c r="M18" s="249">
        <f>'CUOTA INDUSTRIAL'!K17</f>
        <v>0</v>
      </c>
      <c r="N18" s="4" t="s">
        <v>56</v>
      </c>
      <c r="O18" s="5">
        <f>RESUMEN!$B$3</f>
        <v>45481</v>
      </c>
      <c r="P18" s="1">
        <f t="shared" si="0"/>
        <v>2024</v>
      </c>
      <c r="Q18" s="1"/>
    </row>
    <row r="19" spans="1:17">
      <c r="A19" s="2" t="s">
        <v>38</v>
      </c>
      <c r="B19" s="1" t="s">
        <v>39</v>
      </c>
      <c r="C19" s="1" t="s">
        <v>14</v>
      </c>
      <c r="D19" s="1" t="s">
        <v>40</v>
      </c>
      <c r="E19" s="1" t="str">
        <f>'CUOTA INDUSTRIAL'!$C$16</f>
        <v>LANDES S.A. SOC. PESQ.</v>
      </c>
      <c r="F19" s="4">
        <v>45292</v>
      </c>
      <c r="G19" s="4">
        <v>45657</v>
      </c>
      <c r="H19" s="3">
        <f>'CUOTA INDUSTRIAL'!$L$16</f>
        <v>1121.6300000000001</v>
      </c>
      <c r="I19" s="3">
        <f>'CUOTA INDUSTRIAL'!M16</f>
        <v>-1121.6300000000001</v>
      </c>
      <c r="J19" s="3">
        <f>'CUOTA INDUSTRIAL'!N16</f>
        <v>0</v>
      </c>
      <c r="K19" s="3">
        <f>'CUOTA INDUSTRIAL'!O16</f>
        <v>0</v>
      </c>
      <c r="L19" s="3">
        <f>'CUOTA INDUSTRIAL'!P16</f>
        <v>0</v>
      </c>
      <c r="M19" s="249">
        <f>'CUOTA INDUSTRIAL'!Q16</f>
        <v>0</v>
      </c>
      <c r="N19" s="4" t="s">
        <v>56</v>
      </c>
      <c r="O19" s="5">
        <f>RESUMEN!$B$3</f>
        <v>45481</v>
      </c>
      <c r="P19" s="1">
        <f t="shared" si="0"/>
        <v>2024</v>
      </c>
      <c r="Q19" s="1"/>
    </row>
    <row r="20" spans="1:17" ht="14.25" customHeight="1">
      <c r="A20" s="2" t="s">
        <v>38</v>
      </c>
      <c r="B20" s="1" t="s">
        <v>39</v>
      </c>
      <c r="C20" s="1" t="s">
        <v>14</v>
      </c>
      <c r="D20" s="1" t="s">
        <v>40</v>
      </c>
      <c r="E20" s="1" t="str">
        <f>'CUOTA INDUSTRIAL'!$C$18</f>
        <v>ORIZON S.A.</v>
      </c>
      <c r="F20" s="4">
        <v>45292</v>
      </c>
      <c r="G20" s="4">
        <v>45565</v>
      </c>
      <c r="H20" s="3">
        <f>'CUOTA INDUSTRIAL'!F18</f>
        <v>5668.5460000000003</v>
      </c>
      <c r="I20" s="3">
        <f>'CUOTA INDUSTRIAL'!G18</f>
        <v>-6268.0264999999999</v>
      </c>
      <c r="J20" s="3">
        <f>'CUOTA INDUSTRIAL'!H18</f>
        <v>-599.48049999999967</v>
      </c>
      <c r="K20" s="3">
        <f>'CUOTA INDUSTRIAL'!I18</f>
        <v>0</v>
      </c>
      <c r="L20" s="3">
        <f>'CUOTA INDUSTRIAL'!J18</f>
        <v>-599.48049999999967</v>
      </c>
      <c r="M20" s="249">
        <f>'CUOTA INDUSTRIAL'!K18</f>
        <v>0</v>
      </c>
      <c r="N20" s="4" t="s">
        <v>56</v>
      </c>
      <c r="O20" s="5">
        <f>RESUMEN!$B$3</f>
        <v>45481</v>
      </c>
      <c r="P20" s="1">
        <f t="shared" si="0"/>
        <v>2024</v>
      </c>
      <c r="Q20" s="1"/>
    </row>
    <row r="21" spans="1:17" ht="14.25" customHeight="1">
      <c r="A21" s="2" t="s">
        <v>38</v>
      </c>
      <c r="B21" s="1" t="s">
        <v>39</v>
      </c>
      <c r="C21" s="1" t="s">
        <v>14</v>
      </c>
      <c r="D21" s="1" t="s">
        <v>40</v>
      </c>
      <c r="E21" s="1" t="str">
        <f>'CUOTA INDUSTRIAL'!$C$18</f>
        <v>ORIZON S.A.</v>
      </c>
      <c r="F21" s="4">
        <v>45566</v>
      </c>
      <c r="G21" s="4">
        <v>45657</v>
      </c>
      <c r="H21" s="3">
        <f>'CUOTA INDUSTRIAL'!F19</f>
        <v>629.84400000000005</v>
      </c>
      <c r="I21" s="3">
        <f>'CUOTA INDUSTRIAL'!G19</f>
        <v>0</v>
      </c>
      <c r="J21" s="3">
        <f>'CUOTA INDUSTRIAL'!H19</f>
        <v>30.363500000000386</v>
      </c>
      <c r="K21" s="3">
        <f>'CUOTA INDUSTRIAL'!I19</f>
        <v>0</v>
      </c>
      <c r="L21" s="3">
        <f>'CUOTA INDUSTRIAL'!J19</f>
        <v>30.363500000000386</v>
      </c>
      <c r="M21" s="249">
        <f>'CUOTA INDUSTRIAL'!K19</f>
        <v>0</v>
      </c>
      <c r="N21" s="4" t="s">
        <v>56</v>
      </c>
      <c r="O21" s="5">
        <f>RESUMEN!$B$3</f>
        <v>45481</v>
      </c>
      <c r="P21" s="1">
        <f t="shared" si="0"/>
        <v>2024</v>
      </c>
      <c r="Q21" s="1"/>
    </row>
    <row r="22" spans="1:17" ht="14.25" customHeight="1">
      <c r="A22" s="2" t="s">
        <v>38</v>
      </c>
      <c r="B22" s="1" t="s">
        <v>39</v>
      </c>
      <c r="C22" s="1" t="s">
        <v>14</v>
      </c>
      <c r="D22" s="1" t="s">
        <v>40</v>
      </c>
      <c r="E22" s="1" t="str">
        <f>'CUOTA INDUSTRIAL'!$C$18</f>
        <v>ORIZON S.A.</v>
      </c>
      <c r="F22" s="4">
        <v>45292</v>
      </c>
      <c r="G22" s="4">
        <v>45657</v>
      </c>
      <c r="H22" s="3">
        <f>'CUOTA INDUSTRIAL'!$L$18</f>
        <v>6298.39</v>
      </c>
      <c r="I22" s="3">
        <f>'CUOTA INDUSTRIAL'!M18</f>
        <v>-6268.0264999999999</v>
      </c>
      <c r="J22" s="3">
        <f>'CUOTA INDUSTRIAL'!N18</f>
        <v>30.363500000000386</v>
      </c>
      <c r="K22" s="3">
        <f>'CUOTA INDUSTRIAL'!O18</f>
        <v>0</v>
      </c>
      <c r="L22" s="3">
        <f>'CUOTA INDUSTRIAL'!P18</f>
        <v>30.363500000000386</v>
      </c>
      <c r="M22" s="249">
        <f>'CUOTA INDUSTRIAL'!Q18</f>
        <v>0</v>
      </c>
      <c r="N22" s="4" t="s">
        <v>56</v>
      </c>
      <c r="O22" s="5">
        <f>RESUMEN!$B$3</f>
        <v>45481</v>
      </c>
      <c r="P22" s="1">
        <f t="shared" si="0"/>
        <v>2024</v>
      </c>
      <c r="Q22" s="1"/>
    </row>
    <row r="23" spans="1:17" ht="14.25" customHeight="1">
      <c r="A23" s="2" t="s">
        <v>38</v>
      </c>
      <c r="B23" s="1" t="s">
        <v>39</v>
      </c>
      <c r="C23" s="1" t="s">
        <v>14</v>
      </c>
      <c r="D23" s="1" t="s">
        <v>40</v>
      </c>
      <c r="E23" s="1" t="str">
        <f>'CUOTA INDUSTRIAL'!$C$20</f>
        <v>COMERCIAL Y CONSERVERA SAN LAZARO LIMITADA</v>
      </c>
      <c r="F23" s="4">
        <v>45292</v>
      </c>
      <c r="G23" s="4">
        <v>45565</v>
      </c>
      <c r="H23" s="3">
        <f>'CUOTA INDUSTRIAL'!F20</f>
        <v>0</v>
      </c>
      <c r="I23" s="3">
        <f>'CUOTA INDUSTRIAL'!G20</f>
        <v>2760.9360000000006</v>
      </c>
      <c r="J23" s="3">
        <f>'CUOTA INDUSTRIAL'!H20</f>
        <v>2760.9360000000006</v>
      </c>
      <c r="K23" s="3">
        <f>'CUOTA INDUSTRIAL'!I20</f>
        <v>0</v>
      </c>
      <c r="L23" s="3">
        <f>'CUOTA INDUSTRIAL'!J20</f>
        <v>2760.9360000000006</v>
      </c>
      <c r="M23" s="249">
        <f>'CUOTA INDUSTRIAL'!K20</f>
        <v>0</v>
      </c>
      <c r="N23" s="4" t="s">
        <v>56</v>
      </c>
      <c r="O23" s="5">
        <f>RESUMEN!$B$3</f>
        <v>45481</v>
      </c>
      <c r="P23" s="1">
        <f t="shared" si="0"/>
        <v>2024</v>
      </c>
      <c r="Q23" s="197"/>
    </row>
    <row r="24" spans="1:17" ht="14.25" customHeight="1">
      <c r="A24" s="2" t="s">
        <v>38</v>
      </c>
      <c r="B24" s="1" t="s">
        <v>39</v>
      </c>
      <c r="C24" s="1" t="s">
        <v>14</v>
      </c>
      <c r="D24" s="1" t="s">
        <v>40</v>
      </c>
      <c r="E24" s="1" t="str">
        <f>'CUOTA INDUSTRIAL'!$C$20</f>
        <v>COMERCIAL Y CONSERVERA SAN LAZARO LIMITADA</v>
      </c>
      <c r="F24" s="4">
        <v>45566</v>
      </c>
      <c r="G24" s="4">
        <v>45657</v>
      </c>
      <c r="H24" s="3">
        <f>'CUOTA INDUSTRIAL'!F21</f>
        <v>0</v>
      </c>
      <c r="I24" s="3">
        <f>'CUOTA INDUSTRIAL'!G21</f>
        <v>0</v>
      </c>
      <c r="J24" s="3">
        <f>'CUOTA INDUSTRIAL'!H21</f>
        <v>2760.9360000000006</v>
      </c>
      <c r="K24" s="3">
        <f>'CUOTA INDUSTRIAL'!I21</f>
        <v>0</v>
      </c>
      <c r="L24" s="3">
        <f>'CUOTA INDUSTRIAL'!J21</f>
        <v>2760.9360000000006</v>
      </c>
      <c r="M24" s="249">
        <f>'CUOTA INDUSTRIAL'!K21</f>
        <v>0</v>
      </c>
      <c r="N24" s="4" t="s">
        <v>56</v>
      </c>
      <c r="O24" s="5">
        <f>RESUMEN!$B$3</f>
        <v>45481</v>
      </c>
      <c r="P24" s="1">
        <f t="shared" si="0"/>
        <v>2024</v>
      </c>
      <c r="Q24" s="197"/>
    </row>
    <row r="25" spans="1:17" ht="14.25" customHeight="1">
      <c r="A25" s="2" t="s">
        <v>38</v>
      </c>
      <c r="B25" s="1" t="s">
        <v>39</v>
      </c>
      <c r="C25" s="1" t="s">
        <v>14</v>
      </c>
      <c r="D25" s="1" t="s">
        <v>40</v>
      </c>
      <c r="E25" s="1" t="str">
        <f>'CUOTA INDUSTRIAL'!$C$20</f>
        <v>COMERCIAL Y CONSERVERA SAN LAZARO LIMITADA</v>
      </c>
      <c r="F25" s="4">
        <v>45292</v>
      </c>
      <c r="G25" s="4">
        <v>45657</v>
      </c>
      <c r="H25" s="3">
        <f>'CUOTA INDUSTRIAL'!$L$20</f>
        <v>0</v>
      </c>
      <c r="I25" s="3">
        <f>'CUOTA INDUSTRIAL'!M20</f>
        <v>2760.9360000000006</v>
      </c>
      <c r="J25" s="3">
        <f>'CUOTA INDUSTRIAL'!N20</f>
        <v>2760.9360000000006</v>
      </c>
      <c r="K25" s="3">
        <f>'CUOTA INDUSTRIAL'!O20</f>
        <v>0</v>
      </c>
      <c r="L25" s="3">
        <f>'CUOTA INDUSTRIAL'!P20</f>
        <v>2760.9360000000006</v>
      </c>
      <c r="M25" s="249">
        <f>'CUOTA INDUSTRIAL'!Q20</f>
        <v>0</v>
      </c>
      <c r="N25" s="4" t="s">
        <v>56</v>
      </c>
      <c r="O25" s="5">
        <f>RESUMEN!$B$3</f>
        <v>45481</v>
      </c>
      <c r="P25" s="1">
        <f t="shared" si="0"/>
        <v>2024</v>
      </c>
      <c r="Q25" s="197"/>
    </row>
    <row r="26" spans="1:17" ht="14.25" customHeight="1">
      <c r="A26" s="2" t="s">
        <v>38</v>
      </c>
      <c r="B26" s="1" t="s">
        <v>39</v>
      </c>
      <c r="C26" s="1" t="s">
        <v>14</v>
      </c>
      <c r="D26" s="1" t="s">
        <v>40</v>
      </c>
      <c r="E26" s="1" t="str">
        <f>'CUOTA INDUSTRIAL'!$C$22</f>
        <v>SINDICATO PESQUERO DEL NORTE SpA</v>
      </c>
      <c r="F26" s="4">
        <v>45292</v>
      </c>
      <c r="G26" s="4">
        <v>45565</v>
      </c>
      <c r="H26" s="3">
        <f>'CUOTA INDUSTRIAL'!F22</f>
        <v>27.954000000000001</v>
      </c>
      <c r="I26" s="3">
        <f>'CUOTA INDUSTRIAL'!G22</f>
        <v>-31.061</v>
      </c>
      <c r="J26" s="3">
        <f>'CUOTA INDUSTRIAL'!H22</f>
        <v>-3.1069999999999993</v>
      </c>
      <c r="K26" s="3">
        <f>'CUOTA INDUSTRIAL'!I22</f>
        <v>0</v>
      </c>
      <c r="L26" s="3">
        <f>'CUOTA INDUSTRIAL'!J22</f>
        <v>-3.1069999999999993</v>
      </c>
      <c r="M26" s="249">
        <f>'CUOTA INDUSTRIAL'!K22</f>
        <v>0</v>
      </c>
      <c r="N26" s="4" t="s">
        <v>56</v>
      </c>
      <c r="O26" s="5">
        <f>RESUMEN!$B$3</f>
        <v>45481</v>
      </c>
      <c r="P26" s="1">
        <f t="shared" si="0"/>
        <v>2024</v>
      </c>
      <c r="Q26" s="197"/>
    </row>
    <row r="27" spans="1:17" ht="14.25" customHeight="1">
      <c r="A27" s="2" t="s">
        <v>38</v>
      </c>
      <c r="B27" s="1" t="s">
        <v>39</v>
      </c>
      <c r="C27" s="1" t="s">
        <v>14</v>
      </c>
      <c r="D27" s="1" t="s">
        <v>40</v>
      </c>
      <c r="E27" s="1" t="str">
        <f>'CUOTA INDUSTRIAL'!$C$22</f>
        <v>SINDICATO PESQUERO DEL NORTE SpA</v>
      </c>
      <c r="F27" s="4">
        <v>45566</v>
      </c>
      <c r="G27" s="4">
        <v>45657</v>
      </c>
      <c r="H27" s="3">
        <f>'CUOTA INDUSTRIAL'!F23</f>
        <v>3.1059999999999999</v>
      </c>
      <c r="I27" s="3">
        <f>'CUOTA INDUSTRIAL'!G23</f>
        <v>0</v>
      </c>
      <c r="J27" s="3">
        <f>'CUOTA INDUSTRIAL'!H23</f>
        <v>-9.9999999999944578E-4</v>
      </c>
      <c r="K27" s="3">
        <f>'CUOTA INDUSTRIAL'!I23</f>
        <v>0</v>
      </c>
      <c r="L27" s="3">
        <f>'CUOTA INDUSTRIAL'!J23</f>
        <v>-9.9999999999944578E-4</v>
      </c>
      <c r="M27" s="249">
        <f>'CUOTA INDUSTRIAL'!K23</f>
        <v>0</v>
      </c>
      <c r="N27" s="4" t="s">
        <v>56</v>
      </c>
      <c r="O27" s="5">
        <f>RESUMEN!$B$3</f>
        <v>45481</v>
      </c>
      <c r="P27" s="1">
        <f t="shared" si="0"/>
        <v>2024</v>
      </c>
      <c r="Q27" s="197"/>
    </row>
    <row r="28" spans="1:17" ht="14.25" customHeight="1" thickBot="1">
      <c r="A28" s="51" t="s">
        <v>38</v>
      </c>
      <c r="B28" s="49" t="s">
        <v>39</v>
      </c>
      <c r="C28" s="49" t="s">
        <v>14</v>
      </c>
      <c r="D28" s="49" t="s">
        <v>40</v>
      </c>
      <c r="E28" s="48" t="str">
        <f>'CUOTA INDUSTRIAL'!$C$22</f>
        <v>SINDICATO PESQUERO DEL NORTE SpA</v>
      </c>
      <c r="F28" s="50">
        <v>45292</v>
      </c>
      <c r="G28" s="50">
        <v>45657</v>
      </c>
      <c r="H28" s="52">
        <f>'CUOTA INDUSTRIAL'!$L$22</f>
        <v>31.060000000000002</v>
      </c>
      <c r="I28" s="52">
        <f>'CUOTA INDUSTRIAL'!M22</f>
        <v>-31.061</v>
      </c>
      <c r="J28" s="52">
        <f>'CUOTA INDUSTRIAL'!N22</f>
        <v>-9.9999999999766942E-4</v>
      </c>
      <c r="K28" s="52">
        <f>'CUOTA INDUSTRIAL'!O22</f>
        <v>0</v>
      </c>
      <c r="L28" s="52">
        <f>'CUOTA INDUSTRIAL'!P22</f>
        <v>-9.9999999999766942E-4</v>
      </c>
      <c r="M28" s="250">
        <f>'CUOTA INDUSTRIAL'!Q22</f>
        <v>0</v>
      </c>
      <c r="N28" s="50" t="s">
        <v>56</v>
      </c>
      <c r="O28" s="53">
        <f>RESUMEN!$B$3</f>
        <v>45481</v>
      </c>
      <c r="P28" s="49">
        <f t="shared" si="0"/>
        <v>2024</v>
      </c>
      <c r="Q28" s="49"/>
    </row>
    <row r="29" spans="1:17" ht="15.75" thickTop="1">
      <c r="A29" s="22" t="s">
        <v>43</v>
      </c>
      <c r="B29" s="23" t="s">
        <v>39</v>
      </c>
      <c r="C29" s="23" t="s">
        <v>44</v>
      </c>
      <c r="D29" s="23" t="s">
        <v>40</v>
      </c>
      <c r="E29" s="23" t="str">
        <f>+'CUOTA INDUSTRIAL'!C$31</f>
        <v>ALIMENTOS MARINOS S.A.</v>
      </c>
      <c r="F29" s="4">
        <v>45292</v>
      </c>
      <c r="G29" s="4">
        <v>45565</v>
      </c>
      <c r="H29" s="24">
        <f>'CUOTA INDUSTRIAL'!F31</f>
        <v>1832.002</v>
      </c>
      <c r="I29" s="3">
        <f>'CUOTA INDUSTRIAL'!G31</f>
        <v>-2035</v>
      </c>
      <c r="J29" s="3">
        <f>'CUOTA INDUSTRIAL'!H31</f>
        <v>-202.99800000000005</v>
      </c>
      <c r="K29" s="3">
        <f>'CUOTA INDUSTRIAL'!I31</f>
        <v>0</v>
      </c>
      <c r="L29" s="3">
        <f>'CUOTA INDUSTRIAL'!J31</f>
        <v>-202.99800000000005</v>
      </c>
      <c r="M29" s="249">
        <f>'CUOTA INDUSTRIAL'!K31</f>
        <v>0</v>
      </c>
      <c r="N29" s="25" t="s">
        <v>56</v>
      </c>
      <c r="O29" s="26">
        <f>RESUMEN!$B$3</f>
        <v>45481</v>
      </c>
      <c r="P29" s="23">
        <f t="shared" si="0"/>
        <v>2024</v>
      </c>
      <c r="Q29" s="23"/>
    </row>
    <row r="30" spans="1:17">
      <c r="A30" s="22" t="s">
        <v>43</v>
      </c>
      <c r="B30" s="23" t="s">
        <v>39</v>
      </c>
      <c r="C30" s="23" t="s">
        <v>44</v>
      </c>
      <c r="D30" s="23" t="s">
        <v>40</v>
      </c>
      <c r="E30" s="23" t="str">
        <f>+'CUOTA INDUSTRIAL'!C$31</f>
        <v>ALIMENTOS MARINOS S.A.</v>
      </c>
      <c r="F30" s="4">
        <v>45566</v>
      </c>
      <c r="G30" s="4">
        <v>45657</v>
      </c>
      <c r="H30" s="24">
        <f>'CUOTA INDUSTRIAL'!F32</f>
        <v>203.584</v>
      </c>
      <c r="I30" s="3">
        <f>'CUOTA INDUSTRIAL'!G32</f>
        <v>0</v>
      </c>
      <c r="J30" s="3">
        <f>'CUOTA INDUSTRIAL'!H32</f>
        <v>0.58599999999995589</v>
      </c>
      <c r="K30" s="3">
        <f>'CUOTA INDUSTRIAL'!I32</f>
        <v>0</v>
      </c>
      <c r="L30" s="3">
        <f>'CUOTA INDUSTRIAL'!J32</f>
        <v>0.58599999999995589</v>
      </c>
      <c r="M30" s="249">
        <f>'CUOTA INDUSTRIAL'!K32</f>
        <v>0</v>
      </c>
      <c r="N30" s="25" t="s">
        <v>56</v>
      </c>
      <c r="O30" s="26">
        <f>RESUMEN!$B$3</f>
        <v>45481</v>
      </c>
      <c r="P30" s="23">
        <f t="shared" ref="P30:P76" si="3">YEAR(O30)</f>
        <v>2024</v>
      </c>
      <c r="Q30" s="23"/>
    </row>
    <row r="31" spans="1:17">
      <c r="A31" s="22" t="s">
        <v>43</v>
      </c>
      <c r="B31" s="23" t="s">
        <v>39</v>
      </c>
      <c r="C31" s="23" t="s">
        <v>44</v>
      </c>
      <c r="D31" s="23" t="s">
        <v>40</v>
      </c>
      <c r="E31" s="23" t="str">
        <f>+'CUOTA INDUSTRIAL'!C$31</f>
        <v>ALIMENTOS MARINOS S.A.</v>
      </c>
      <c r="F31" s="4">
        <v>45292</v>
      </c>
      <c r="G31" s="4">
        <v>45657</v>
      </c>
      <c r="H31" s="24">
        <f>'CUOTA INDUSTRIAL'!$L$31</f>
        <v>2035.586</v>
      </c>
      <c r="I31" s="24">
        <f>'CUOTA INDUSTRIAL'!M31</f>
        <v>-2035</v>
      </c>
      <c r="J31" s="24">
        <f>'CUOTA INDUSTRIAL'!N31</f>
        <v>0.58600000000001273</v>
      </c>
      <c r="K31" s="24">
        <f>'CUOTA INDUSTRIAL'!O31</f>
        <v>0</v>
      </c>
      <c r="L31" s="24">
        <f>'CUOTA INDUSTRIAL'!P31</f>
        <v>0.58600000000001273</v>
      </c>
      <c r="M31" s="251">
        <f>'CUOTA INDUSTRIAL'!Q31</f>
        <v>0</v>
      </c>
      <c r="N31" s="25" t="s">
        <v>56</v>
      </c>
      <c r="O31" s="26">
        <f>RESUMEN!$B$3</f>
        <v>45481</v>
      </c>
      <c r="P31" s="23">
        <f t="shared" si="3"/>
        <v>2024</v>
      </c>
      <c r="Q31" s="23"/>
    </row>
    <row r="32" spans="1:17">
      <c r="A32" s="22" t="s">
        <v>43</v>
      </c>
      <c r="B32" s="23" t="s">
        <v>39</v>
      </c>
      <c r="C32" s="23" t="s">
        <v>44</v>
      </c>
      <c r="D32" s="23" t="s">
        <v>40</v>
      </c>
      <c r="E32" s="1" t="str">
        <f>+'CUOTA INDUSTRIAL'!C$33</f>
        <v>ARICA SEAFOOD PRODUCER S.A.</v>
      </c>
      <c r="F32" s="4">
        <v>45292</v>
      </c>
      <c r="G32" s="4">
        <v>45565</v>
      </c>
      <c r="H32" s="24">
        <f>'CUOTA INDUSTRIAL'!F33</f>
        <v>5.65</v>
      </c>
      <c r="I32" s="3">
        <f>'CUOTA INDUSTRIAL'!G33</f>
        <v>0</v>
      </c>
      <c r="J32" s="3">
        <f>'CUOTA INDUSTRIAL'!H33</f>
        <v>5.65</v>
      </c>
      <c r="K32" s="3">
        <f>'CUOTA INDUSTRIAL'!I33</f>
        <v>0</v>
      </c>
      <c r="L32" s="3">
        <f>'CUOTA INDUSTRIAL'!J33</f>
        <v>5.65</v>
      </c>
      <c r="M32" s="249">
        <f>'CUOTA INDUSTRIAL'!K33</f>
        <v>0</v>
      </c>
      <c r="N32" s="25" t="s">
        <v>56</v>
      </c>
      <c r="O32" s="26">
        <f>RESUMEN!$B$3</f>
        <v>45481</v>
      </c>
      <c r="P32" s="23">
        <f t="shared" si="3"/>
        <v>2024</v>
      </c>
      <c r="Q32" s="1"/>
    </row>
    <row r="33" spans="1:17">
      <c r="A33" s="22" t="s">
        <v>43</v>
      </c>
      <c r="B33" s="23" t="s">
        <v>39</v>
      </c>
      <c r="C33" s="23" t="s">
        <v>44</v>
      </c>
      <c r="D33" s="23" t="s">
        <v>40</v>
      </c>
      <c r="E33" s="1" t="str">
        <f>+'CUOTA INDUSTRIAL'!C$33</f>
        <v>ARICA SEAFOOD PRODUCER S.A.</v>
      </c>
      <c r="F33" s="4">
        <v>45566</v>
      </c>
      <c r="G33" s="4">
        <v>45657</v>
      </c>
      <c r="H33" s="24">
        <f>'CUOTA INDUSTRIAL'!F34</f>
        <v>0.628</v>
      </c>
      <c r="I33" s="3">
        <f>'CUOTA INDUSTRIAL'!G34</f>
        <v>0</v>
      </c>
      <c r="J33" s="3">
        <f>'CUOTA INDUSTRIAL'!H34</f>
        <v>6.2780000000000005</v>
      </c>
      <c r="K33" s="3">
        <f>'CUOTA INDUSTRIAL'!I34</f>
        <v>0</v>
      </c>
      <c r="L33" s="3">
        <f>'CUOTA INDUSTRIAL'!J34</f>
        <v>6.2780000000000005</v>
      </c>
      <c r="M33" s="249">
        <f>'CUOTA INDUSTRIAL'!K34</f>
        <v>0</v>
      </c>
      <c r="N33" s="25" t="s">
        <v>56</v>
      </c>
      <c r="O33" s="26">
        <f>RESUMEN!$B$3</f>
        <v>45481</v>
      </c>
      <c r="P33" s="23">
        <f t="shared" si="3"/>
        <v>2024</v>
      </c>
      <c r="Q33" s="1"/>
    </row>
    <row r="34" spans="1:17">
      <c r="A34" s="22" t="s">
        <v>43</v>
      </c>
      <c r="B34" s="23" t="s">
        <v>39</v>
      </c>
      <c r="C34" s="23" t="s">
        <v>44</v>
      </c>
      <c r="D34" s="23" t="s">
        <v>40</v>
      </c>
      <c r="E34" s="1" t="str">
        <f>+'CUOTA INDUSTRIAL'!C$33</f>
        <v>ARICA SEAFOOD PRODUCER S.A.</v>
      </c>
      <c r="F34" s="4">
        <v>45292</v>
      </c>
      <c r="G34" s="4">
        <v>45657</v>
      </c>
      <c r="H34" s="24">
        <f>'CUOTA INDUSTRIAL'!$L$33</f>
        <v>6.2780000000000005</v>
      </c>
      <c r="I34" s="3">
        <f>+'CUOTA INDUSTRIAL'!M33</f>
        <v>0</v>
      </c>
      <c r="J34" s="3">
        <f>+'CUOTA INDUSTRIAL'!N33</f>
        <v>6.2780000000000005</v>
      </c>
      <c r="K34" s="3">
        <f>+'CUOTA INDUSTRIAL'!O33</f>
        <v>0</v>
      </c>
      <c r="L34" s="3">
        <f>+'CUOTA INDUSTRIAL'!P33</f>
        <v>6.2780000000000005</v>
      </c>
      <c r="M34" s="249">
        <f>+'CUOTA INDUSTRIAL'!Q33</f>
        <v>0</v>
      </c>
      <c r="N34" s="25" t="s">
        <v>56</v>
      </c>
      <c r="O34" s="26">
        <f>RESUMEN!$B$3</f>
        <v>45481</v>
      </c>
      <c r="P34" s="23">
        <f t="shared" si="3"/>
        <v>2024</v>
      </c>
      <c r="Q34" s="1"/>
    </row>
    <row r="35" spans="1:17">
      <c r="A35" s="22" t="s">
        <v>43</v>
      </c>
      <c r="B35" s="23" t="s">
        <v>39</v>
      </c>
      <c r="C35" s="23" t="s">
        <v>44</v>
      </c>
      <c r="D35" s="23" t="s">
        <v>40</v>
      </c>
      <c r="E35" s="1" t="str">
        <f>+'CUOTA INDUSTRIAL'!C$35</f>
        <v>BAHIA CALDERA S.A. PESQ.</v>
      </c>
      <c r="F35" s="4">
        <v>45292</v>
      </c>
      <c r="G35" s="4">
        <v>45565</v>
      </c>
      <c r="H35" s="24">
        <f>'CUOTA INDUSTRIAL'!F35</f>
        <v>82.325000000000003</v>
      </c>
      <c r="I35" s="3">
        <f>'CUOTA INDUSTRIAL'!G35</f>
        <v>0</v>
      </c>
      <c r="J35" s="3">
        <f>'CUOTA INDUSTRIAL'!H35</f>
        <v>82.325000000000003</v>
      </c>
      <c r="K35" s="3">
        <f>'CUOTA INDUSTRIAL'!I35</f>
        <v>0</v>
      </c>
      <c r="L35" s="3">
        <f>'CUOTA INDUSTRIAL'!J35</f>
        <v>82.325000000000003</v>
      </c>
      <c r="M35" s="249">
        <f>'CUOTA INDUSTRIAL'!K35</f>
        <v>0</v>
      </c>
      <c r="N35" s="25" t="s">
        <v>56</v>
      </c>
      <c r="O35" s="26">
        <f>RESUMEN!$B$3</f>
        <v>45481</v>
      </c>
      <c r="P35" s="23">
        <f t="shared" si="3"/>
        <v>2024</v>
      </c>
      <c r="Q35" s="1"/>
    </row>
    <row r="36" spans="1:17">
      <c r="A36" s="22" t="s">
        <v>43</v>
      </c>
      <c r="B36" s="23" t="s">
        <v>39</v>
      </c>
      <c r="C36" s="23" t="s">
        <v>44</v>
      </c>
      <c r="D36" s="23" t="s">
        <v>40</v>
      </c>
      <c r="E36" s="1" t="str">
        <f>+'CUOTA INDUSTRIAL'!C$35</f>
        <v>BAHIA CALDERA S.A. PESQ.</v>
      </c>
      <c r="F36" s="4">
        <v>45566</v>
      </c>
      <c r="G36" s="4">
        <v>45657</v>
      </c>
      <c r="H36" s="24">
        <f>'CUOTA INDUSTRIAL'!F36</f>
        <v>9.1479999999999997</v>
      </c>
      <c r="I36" s="3">
        <f>'CUOTA INDUSTRIAL'!G36</f>
        <v>0</v>
      </c>
      <c r="J36" s="3">
        <f>'CUOTA INDUSTRIAL'!H36</f>
        <v>91.472999999999999</v>
      </c>
      <c r="K36" s="3">
        <f>'CUOTA INDUSTRIAL'!I36</f>
        <v>0</v>
      </c>
      <c r="L36" s="3">
        <f>'CUOTA INDUSTRIAL'!J36</f>
        <v>91.472999999999999</v>
      </c>
      <c r="M36" s="249">
        <f>'CUOTA INDUSTRIAL'!K36</f>
        <v>0</v>
      </c>
      <c r="N36" s="25" t="s">
        <v>56</v>
      </c>
      <c r="O36" s="26">
        <f>RESUMEN!$B$3</f>
        <v>45481</v>
      </c>
      <c r="P36" s="23">
        <f t="shared" si="3"/>
        <v>2024</v>
      </c>
      <c r="Q36" s="1"/>
    </row>
    <row r="37" spans="1:17">
      <c r="A37" s="22" t="s">
        <v>43</v>
      </c>
      <c r="B37" s="23" t="s">
        <v>39</v>
      </c>
      <c r="C37" s="23" t="s">
        <v>44</v>
      </c>
      <c r="D37" s="23" t="s">
        <v>40</v>
      </c>
      <c r="E37" s="1" t="str">
        <f>+'CUOTA INDUSTRIAL'!C$35</f>
        <v>BAHIA CALDERA S.A. PESQ.</v>
      </c>
      <c r="F37" s="4">
        <v>45292</v>
      </c>
      <c r="G37" s="4">
        <v>45657</v>
      </c>
      <c r="H37" s="24">
        <f>'CUOTA INDUSTRIAL'!$L$35</f>
        <v>91.472999999999999</v>
      </c>
      <c r="I37" s="3">
        <f>+'CUOTA INDUSTRIAL'!M35</f>
        <v>0</v>
      </c>
      <c r="J37" s="3">
        <f>+'CUOTA INDUSTRIAL'!N35</f>
        <v>91.472999999999999</v>
      </c>
      <c r="K37" s="3">
        <f>+'CUOTA INDUSTRIAL'!O35</f>
        <v>0</v>
      </c>
      <c r="L37" s="3">
        <f>+'CUOTA INDUSTRIAL'!P35</f>
        <v>91.472999999999999</v>
      </c>
      <c r="M37" s="249">
        <f>+'CUOTA INDUSTRIAL'!Q35</f>
        <v>0</v>
      </c>
      <c r="N37" s="25" t="s">
        <v>56</v>
      </c>
      <c r="O37" s="26">
        <f>RESUMEN!$B$3</f>
        <v>45481</v>
      </c>
      <c r="P37" s="23">
        <f t="shared" si="3"/>
        <v>2024</v>
      </c>
      <c r="Q37" s="1"/>
    </row>
    <row r="38" spans="1:17">
      <c r="A38" s="22" t="s">
        <v>43</v>
      </c>
      <c r="B38" s="23" t="s">
        <v>39</v>
      </c>
      <c r="C38" s="23" t="s">
        <v>44</v>
      </c>
      <c r="D38" s="23" t="s">
        <v>40</v>
      </c>
      <c r="E38" s="1" t="str">
        <f>+'CUOTA INDUSTRIAL'!C$37</f>
        <v>BLUMAR S.A.</v>
      </c>
      <c r="F38" s="4">
        <v>45292</v>
      </c>
      <c r="G38" s="4">
        <v>45565</v>
      </c>
      <c r="H38" s="24">
        <f>'CUOTA INDUSTRIAL'!F37</f>
        <v>4986.8940000000002</v>
      </c>
      <c r="I38" s="3">
        <f>'CUOTA INDUSTRIAL'!G37</f>
        <v>-5000</v>
      </c>
      <c r="J38" s="3">
        <f>'CUOTA INDUSTRIAL'!H37</f>
        <v>-13.105999999999767</v>
      </c>
      <c r="K38" s="3">
        <f>'CUOTA INDUSTRIAL'!I37</f>
        <v>0</v>
      </c>
      <c r="L38" s="3">
        <f>'CUOTA INDUSTRIAL'!J37</f>
        <v>-13.105999999999767</v>
      </c>
      <c r="M38" s="249">
        <f>'CUOTA INDUSTRIAL'!K37</f>
        <v>0</v>
      </c>
      <c r="N38" s="25" t="s">
        <v>56</v>
      </c>
      <c r="O38" s="26">
        <f>RESUMEN!$B$3</f>
        <v>45481</v>
      </c>
      <c r="P38" s="23">
        <f t="shared" si="3"/>
        <v>2024</v>
      </c>
      <c r="Q38" s="1"/>
    </row>
    <row r="39" spans="1:17">
      <c r="A39" s="22" t="s">
        <v>43</v>
      </c>
      <c r="B39" s="23" t="s">
        <v>39</v>
      </c>
      <c r="C39" s="23" t="s">
        <v>44</v>
      </c>
      <c r="D39" s="23" t="s">
        <v>40</v>
      </c>
      <c r="E39" s="1" t="str">
        <f>+'CUOTA INDUSTRIAL'!C$37</f>
        <v>BLUMAR S.A.</v>
      </c>
      <c r="F39" s="4">
        <v>45566</v>
      </c>
      <c r="G39" s="4">
        <v>45657</v>
      </c>
      <c r="H39" s="24">
        <f>'CUOTA INDUSTRIAL'!F38</f>
        <v>554.17499999999995</v>
      </c>
      <c r="I39" s="3">
        <f>'CUOTA INDUSTRIAL'!G38</f>
        <v>0</v>
      </c>
      <c r="J39" s="3">
        <f>'CUOTA INDUSTRIAL'!H38</f>
        <v>541.06900000000019</v>
      </c>
      <c r="K39" s="3">
        <f>'CUOTA INDUSTRIAL'!I38</f>
        <v>0</v>
      </c>
      <c r="L39" s="3">
        <f>'CUOTA INDUSTRIAL'!J38</f>
        <v>541.06900000000019</v>
      </c>
      <c r="M39" s="249">
        <f>'CUOTA INDUSTRIAL'!K38</f>
        <v>0</v>
      </c>
      <c r="N39" s="25" t="s">
        <v>56</v>
      </c>
      <c r="O39" s="26">
        <f>RESUMEN!$B$3</f>
        <v>45481</v>
      </c>
      <c r="P39" s="23">
        <f t="shared" si="3"/>
        <v>2024</v>
      </c>
      <c r="Q39" s="1"/>
    </row>
    <row r="40" spans="1:17">
      <c r="A40" s="22" t="s">
        <v>43</v>
      </c>
      <c r="B40" s="23" t="s">
        <v>39</v>
      </c>
      <c r="C40" s="23" t="s">
        <v>44</v>
      </c>
      <c r="D40" s="23" t="s">
        <v>40</v>
      </c>
      <c r="E40" s="1" t="str">
        <f>+'CUOTA INDUSTRIAL'!C$37</f>
        <v>BLUMAR S.A.</v>
      </c>
      <c r="F40" s="4">
        <v>45292</v>
      </c>
      <c r="G40" s="4">
        <v>45657</v>
      </c>
      <c r="H40" s="24">
        <f>'CUOTA INDUSTRIAL'!$L$37</f>
        <v>5541.0690000000004</v>
      </c>
      <c r="I40" s="3">
        <f>+'CUOTA INDUSTRIAL'!M37</f>
        <v>-5000</v>
      </c>
      <c r="J40" s="3">
        <f>+'CUOTA INDUSTRIAL'!N37</f>
        <v>541.06900000000041</v>
      </c>
      <c r="K40" s="3">
        <f>+'CUOTA INDUSTRIAL'!O37</f>
        <v>0</v>
      </c>
      <c r="L40" s="3">
        <f>+'CUOTA INDUSTRIAL'!P37</f>
        <v>541.06900000000041</v>
      </c>
      <c r="M40" s="249">
        <f>+'CUOTA INDUSTRIAL'!Q37</f>
        <v>0</v>
      </c>
      <c r="N40" s="25" t="s">
        <v>56</v>
      </c>
      <c r="O40" s="26">
        <f>RESUMEN!$B$3</f>
        <v>45481</v>
      </c>
      <c r="P40" s="23">
        <f t="shared" si="3"/>
        <v>2024</v>
      </c>
      <c r="Q40" s="1"/>
    </row>
    <row r="41" spans="1:17">
      <c r="A41" s="22" t="s">
        <v>43</v>
      </c>
      <c r="B41" s="23" t="s">
        <v>39</v>
      </c>
      <c r="C41" s="23" t="s">
        <v>44</v>
      </c>
      <c r="D41" s="23" t="s">
        <v>40</v>
      </c>
      <c r="E41" s="1" t="str">
        <f>+'CUOTA INDUSTRIAL'!C$39</f>
        <v>CAMANCHACA PESCA SUR S.A.</v>
      </c>
      <c r="F41" s="4">
        <v>45292</v>
      </c>
      <c r="G41" s="4">
        <v>45565</v>
      </c>
      <c r="H41" s="24">
        <f>'CUOTA INDUSTRIAL'!F39</f>
        <v>1623.5429999999999</v>
      </c>
      <c r="I41" s="3">
        <f>'CUOTA INDUSTRIAL'!G39</f>
        <v>-1801.9459999999999</v>
      </c>
      <c r="J41" s="3">
        <f>'CUOTA INDUSTRIAL'!H39</f>
        <v>-178.40300000000002</v>
      </c>
      <c r="K41" s="3">
        <f>'CUOTA INDUSTRIAL'!I39</f>
        <v>0</v>
      </c>
      <c r="L41" s="3">
        <f>'CUOTA INDUSTRIAL'!J39</f>
        <v>-178.40300000000002</v>
      </c>
      <c r="M41" s="249">
        <f>'CUOTA INDUSTRIAL'!K39</f>
        <v>0</v>
      </c>
      <c r="N41" s="25" t="s">
        <v>56</v>
      </c>
      <c r="O41" s="26">
        <f>RESUMEN!$B$3</f>
        <v>45481</v>
      </c>
      <c r="P41" s="23">
        <f t="shared" si="3"/>
        <v>2024</v>
      </c>
      <c r="Q41" s="1"/>
    </row>
    <row r="42" spans="1:17">
      <c r="A42" s="22" t="s">
        <v>43</v>
      </c>
      <c r="B42" s="23" t="s">
        <v>39</v>
      </c>
      <c r="C42" s="23" t="s">
        <v>44</v>
      </c>
      <c r="D42" s="23" t="s">
        <v>40</v>
      </c>
      <c r="E42" s="1" t="str">
        <f>+'CUOTA INDUSTRIAL'!C$39</f>
        <v>CAMANCHACA PESCA SUR S.A.</v>
      </c>
      <c r="F42" s="4">
        <v>45566</v>
      </c>
      <c r="G42" s="4">
        <v>45657</v>
      </c>
      <c r="H42" s="24">
        <f>'CUOTA INDUSTRIAL'!F40</f>
        <v>180.41800000000001</v>
      </c>
      <c r="I42" s="3">
        <f>'CUOTA INDUSTRIAL'!G40</f>
        <v>0</v>
      </c>
      <c r="J42" s="3">
        <f>'CUOTA INDUSTRIAL'!H40</f>
        <v>2.0149999999999864</v>
      </c>
      <c r="K42" s="3">
        <f>'CUOTA INDUSTRIAL'!I40</f>
        <v>0</v>
      </c>
      <c r="L42" s="3">
        <f>'CUOTA INDUSTRIAL'!J40</f>
        <v>2.0149999999999864</v>
      </c>
      <c r="M42" s="249">
        <f>'CUOTA INDUSTRIAL'!K40</f>
        <v>0</v>
      </c>
      <c r="N42" s="25" t="s">
        <v>56</v>
      </c>
      <c r="O42" s="26">
        <f>RESUMEN!$B$3</f>
        <v>45481</v>
      </c>
      <c r="P42" s="23">
        <f t="shared" si="3"/>
        <v>2024</v>
      </c>
      <c r="Q42" s="1"/>
    </row>
    <row r="43" spans="1:17">
      <c r="A43" s="22" t="s">
        <v>43</v>
      </c>
      <c r="B43" s="23" t="s">
        <v>39</v>
      </c>
      <c r="C43" s="23" t="s">
        <v>44</v>
      </c>
      <c r="D43" s="23" t="s">
        <v>40</v>
      </c>
      <c r="E43" s="1" t="str">
        <f>+'CUOTA INDUSTRIAL'!C$39</f>
        <v>CAMANCHACA PESCA SUR S.A.</v>
      </c>
      <c r="F43" s="4">
        <v>45292</v>
      </c>
      <c r="G43" s="4">
        <v>45657</v>
      </c>
      <c r="H43" s="24">
        <f>'CUOTA INDUSTRIAL'!$L$39</f>
        <v>1803.9609999999998</v>
      </c>
      <c r="I43" s="3">
        <f>+'CUOTA INDUSTRIAL'!M39</f>
        <v>-1801.9459999999999</v>
      </c>
      <c r="J43" s="3">
        <f>+'CUOTA INDUSTRIAL'!N39</f>
        <v>2.0149999999998727</v>
      </c>
      <c r="K43" s="3">
        <f>+'CUOTA INDUSTRIAL'!O39</f>
        <v>0</v>
      </c>
      <c r="L43" s="3">
        <f>+'CUOTA INDUSTRIAL'!P39</f>
        <v>2.0149999999998727</v>
      </c>
      <c r="M43" s="249">
        <f>+'CUOTA INDUSTRIAL'!Q39</f>
        <v>0</v>
      </c>
      <c r="N43" s="25" t="s">
        <v>56</v>
      </c>
      <c r="O43" s="26">
        <f>RESUMEN!$B$3</f>
        <v>45481</v>
      </c>
      <c r="P43" s="23">
        <f t="shared" si="3"/>
        <v>2024</v>
      </c>
      <c r="Q43" s="1"/>
    </row>
    <row r="44" spans="1:17">
      <c r="A44" s="22" t="s">
        <v>43</v>
      </c>
      <c r="B44" s="23" t="s">
        <v>39</v>
      </c>
      <c r="C44" s="23" t="s">
        <v>44</v>
      </c>
      <c r="D44" s="23" t="s">
        <v>40</v>
      </c>
      <c r="E44" s="1" t="str">
        <f>+'CUOTA INDUSTRIAL'!C$41</f>
        <v>FOODCORP CHILE S.A.</v>
      </c>
      <c r="F44" s="4">
        <v>45292</v>
      </c>
      <c r="G44" s="4">
        <v>45565</v>
      </c>
      <c r="H44" s="24">
        <f>'CUOTA INDUSTRIAL'!F41</f>
        <v>1044.1600000000001</v>
      </c>
      <c r="I44" s="3">
        <f>'CUOTA INDUSTRIAL'!G41</f>
        <v>-1451.328</v>
      </c>
      <c r="J44" s="3">
        <f>'CUOTA INDUSTRIAL'!H41</f>
        <v>-407.16799999999989</v>
      </c>
      <c r="K44" s="3">
        <f>'CUOTA INDUSTRIAL'!I41</f>
        <v>0</v>
      </c>
      <c r="L44" s="3">
        <f>'CUOTA INDUSTRIAL'!J41</f>
        <v>-407.16799999999989</v>
      </c>
      <c r="M44" s="249">
        <f>'CUOTA INDUSTRIAL'!K41</f>
        <v>0</v>
      </c>
      <c r="N44" s="25" t="s">
        <v>56</v>
      </c>
      <c r="O44" s="26">
        <f>RESUMEN!$B$3</f>
        <v>45481</v>
      </c>
      <c r="P44" s="23">
        <f t="shared" si="3"/>
        <v>2024</v>
      </c>
      <c r="Q44" s="1"/>
    </row>
    <row r="45" spans="1:17">
      <c r="A45" s="22" t="s">
        <v>43</v>
      </c>
      <c r="B45" s="23" t="s">
        <v>39</v>
      </c>
      <c r="C45" s="23" t="s">
        <v>44</v>
      </c>
      <c r="D45" s="23" t="s">
        <v>40</v>
      </c>
      <c r="E45" s="1" t="str">
        <f>+'CUOTA INDUSTRIAL'!C$41</f>
        <v>FOODCORP CHILE S.A.</v>
      </c>
      <c r="F45" s="4">
        <v>45566</v>
      </c>
      <c r="G45" s="4">
        <v>45657</v>
      </c>
      <c r="H45" s="24">
        <f>'CUOTA INDUSTRIAL'!F42</f>
        <v>116.03400000000001</v>
      </c>
      <c r="I45" s="3">
        <f>'CUOTA INDUSTRIAL'!G42</f>
        <v>0</v>
      </c>
      <c r="J45" s="3">
        <f>'CUOTA INDUSTRIAL'!H42</f>
        <v>-291.1339999999999</v>
      </c>
      <c r="K45" s="3">
        <f>'CUOTA INDUSTRIAL'!I42</f>
        <v>0</v>
      </c>
      <c r="L45" s="3">
        <f>'CUOTA INDUSTRIAL'!J42</f>
        <v>-291.1339999999999</v>
      </c>
      <c r="M45" s="249">
        <f>'CUOTA INDUSTRIAL'!K42</f>
        <v>0</v>
      </c>
      <c r="N45" s="25" t="s">
        <v>56</v>
      </c>
      <c r="O45" s="26">
        <f>RESUMEN!$B$3</f>
        <v>45481</v>
      </c>
      <c r="P45" s="23">
        <f t="shared" si="3"/>
        <v>2024</v>
      </c>
      <c r="Q45" s="1"/>
    </row>
    <row r="46" spans="1:17">
      <c r="A46" s="22" t="s">
        <v>43</v>
      </c>
      <c r="B46" s="23" t="s">
        <v>39</v>
      </c>
      <c r="C46" s="23" t="s">
        <v>44</v>
      </c>
      <c r="D46" s="23" t="s">
        <v>40</v>
      </c>
      <c r="E46" s="1" t="str">
        <f>+'CUOTA INDUSTRIAL'!C$41</f>
        <v>FOODCORP CHILE S.A.</v>
      </c>
      <c r="F46" s="4">
        <v>45292</v>
      </c>
      <c r="G46" s="4">
        <v>45657</v>
      </c>
      <c r="H46" s="24">
        <f>'CUOTA INDUSTRIAL'!$L$41</f>
        <v>1160.1940000000002</v>
      </c>
      <c r="I46" s="3">
        <f>+'CUOTA INDUSTRIAL'!M41</f>
        <v>-1451.328</v>
      </c>
      <c r="J46" s="3">
        <f>+'CUOTA INDUSTRIAL'!N41</f>
        <v>-291.13399999999979</v>
      </c>
      <c r="K46" s="3">
        <f>+'CUOTA INDUSTRIAL'!O41</f>
        <v>0</v>
      </c>
      <c r="L46" s="3">
        <f>+'CUOTA INDUSTRIAL'!P41</f>
        <v>-291.13399999999979</v>
      </c>
      <c r="M46" s="249">
        <f>+'CUOTA INDUSTRIAL'!Q41</f>
        <v>0</v>
      </c>
      <c r="N46" s="25" t="s">
        <v>56</v>
      </c>
      <c r="O46" s="26">
        <f>RESUMEN!$B$3</f>
        <v>45481</v>
      </c>
      <c r="P46" s="23">
        <f t="shared" si="3"/>
        <v>2024</v>
      </c>
      <c r="Q46" s="1"/>
    </row>
    <row r="47" spans="1:17">
      <c r="A47" s="22" t="s">
        <v>43</v>
      </c>
      <c r="B47" s="23" t="s">
        <v>39</v>
      </c>
      <c r="C47" s="23" t="s">
        <v>44</v>
      </c>
      <c r="D47" s="23" t="s">
        <v>40</v>
      </c>
      <c r="E47" s="1" t="str">
        <f>+'CUOTA INDUSTRIAL'!C$43</f>
        <v>ISLADAMAS S.A. PESQ.</v>
      </c>
      <c r="F47" s="4">
        <v>45292</v>
      </c>
      <c r="G47" s="4">
        <v>45565</v>
      </c>
      <c r="H47" s="24">
        <f>'CUOTA INDUSTRIAL'!F43</f>
        <v>20.879000000000001</v>
      </c>
      <c r="I47" s="3">
        <f>'CUOTA INDUSTRIAL'!G43</f>
        <v>0</v>
      </c>
      <c r="J47" s="3">
        <f>'CUOTA INDUSTRIAL'!H43</f>
        <v>20.879000000000001</v>
      </c>
      <c r="K47" s="3">
        <f>'CUOTA INDUSTRIAL'!I43</f>
        <v>0</v>
      </c>
      <c r="L47" s="3">
        <f>'CUOTA INDUSTRIAL'!J43</f>
        <v>20.879000000000001</v>
      </c>
      <c r="M47" s="249">
        <f>'CUOTA INDUSTRIAL'!K43</f>
        <v>0</v>
      </c>
      <c r="N47" s="25" t="s">
        <v>56</v>
      </c>
      <c r="O47" s="26">
        <f>RESUMEN!$B$3</f>
        <v>45481</v>
      </c>
      <c r="P47" s="23">
        <f t="shared" si="3"/>
        <v>2024</v>
      </c>
      <c r="Q47" s="1"/>
    </row>
    <row r="48" spans="1:17">
      <c r="A48" s="22" t="s">
        <v>43</v>
      </c>
      <c r="B48" s="23" t="s">
        <v>39</v>
      </c>
      <c r="C48" s="23" t="s">
        <v>44</v>
      </c>
      <c r="D48" s="23" t="s">
        <v>40</v>
      </c>
      <c r="E48" s="1" t="str">
        <f>+'CUOTA INDUSTRIAL'!C$43</f>
        <v>ISLADAMAS S.A. PESQ.</v>
      </c>
      <c r="F48" s="4">
        <v>45566</v>
      </c>
      <c r="G48" s="4">
        <v>45657</v>
      </c>
      <c r="H48" s="24">
        <f>'CUOTA INDUSTRIAL'!F44</f>
        <v>2.3199999999999998</v>
      </c>
      <c r="I48" s="3">
        <f>'CUOTA INDUSTRIAL'!G44</f>
        <v>0</v>
      </c>
      <c r="J48" s="3">
        <f>'CUOTA INDUSTRIAL'!H44</f>
        <v>23.199000000000002</v>
      </c>
      <c r="K48" s="3">
        <f>'CUOTA INDUSTRIAL'!I44</f>
        <v>0</v>
      </c>
      <c r="L48" s="3">
        <f>'CUOTA INDUSTRIAL'!J44</f>
        <v>23.199000000000002</v>
      </c>
      <c r="M48" s="249">
        <f>'CUOTA INDUSTRIAL'!K44</f>
        <v>0</v>
      </c>
      <c r="N48" s="25" t="s">
        <v>56</v>
      </c>
      <c r="O48" s="26">
        <f>RESUMEN!$B$3</f>
        <v>45481</v>
      </c>
      <c r="P48" s="23">
        <f t="shared" si="3"/>
        <v>2024</v>
      </c>
      <c r="Q48" s="1"/>
    </row>
    <row r="49" spans="1:17">
      <c r="A49" s="22" t="s">
        <v>43</v>
      </c>
      <c r="B49" s="23" t="s">
        <v>39</v>
      </c>
      <c r="C49" s="23" t="s">
        <v>44</v>
      </c>
      <c r="D49" s="23" t="s">
        <v>40</v>
      </c>
      <c r="E49" s="1" t="str">
        <f>+'CUOTA INDUSTRIAL'!C$43</f>
        <v>ISLADAMAS S.A. PESQ.</v>
      </c>
      <c r="F49" s="4">
        <v>45292</v>
      </c>
      <c r="G49" s="4">
        <v>45657</v>
      </c>
      <c r="H49" s="24">
        <f>'CUOTA INDUSTRIAL'!$L$43</f>
        <v>23.199000000000002</v>
      </c>
      <c r="I49" s="3">
        <f>+'CUOTA INDUSTRIAL'!M43</f>
        <v>0</v>
      </c>
      <c r="J49" s="3">
        <f>+'CUOTA INDUSTRIAL'!N43</f>
        <v>23.199000000000002</v>
      </c>
      <c r="K49" s="3">
        <f>+'CUOTA INDUSTRIAL'!O43</f>
        <v>0</v>
      </c>
      <c r="L49" s="3">
        <f>+'CUOTA INDUSTRIAL'!P43</f>
        <v>23.199000000000002</v>
      </c>
      <c r="M49" s="249">
        <f>+'CUOTA INDUSTRIAL'!Q43</f>
        <v>0</v>
      </c>
      <c r="N49" s="25" t="s">
        <v>56</v>
      </c>
      <c r="O49" s="26">
        <f>RESUMEN!$B$3</f>
        <v>45481</v>
      </c>
      <c r="P49" s="23">
        <f t="shared" si="3"/>
        <v>2024</v>
      </c>
      <c r="Q49" s="1"/>
    </row>
    <row r="50" spans="1:17">
      <c r="A50" s="22" t="s">
        <v>43</v>
      </c>
      <c r="B50" s="23" t="s">
        <v>39</v>
      </c>
      <c r="C50" s="23" t="s">
        <v>44</v>
      </c>
      <c r="D50" s="23" t="s">
        <v>40</v>
      </c>
      <c r="E50" s="1" t="str">
        <f>+'CUOTA INDUSTRIAL'!C$45</f>
        <v>LANDES S.A. SOC. PESQ.</v>
      </c>
      <c r="F50" s="4">
        <v>45292</v>
      </c>
      <c r="G50" s="4">
        <v>45565</v>
      </c>
      <c r="H50" s="24">
        <f>'CUOTA INDUSTRIAL'!F45</f>
        <v>153.839</v>
      </c>
      <c r="I50" s="3">
        <f>'CUOTA INDUSTRIAL'!G45</f>
        <v>-0.48599999999999999</v>
      </c>
      <c r="J50" s="3">
        <f>'CUOTA INDUSTRIAL'!H45</f>
        <v>153.35300000000001</v>
      </c>
      <c r="K50" s="3">
        <f>'CUOTA INDUSTRIAL'!I45</f>
        <v>0</v>
      </c>
      <c r="L50" s="3">
        <f>'CUOTA INDUSTRIAL'!J45</f>
        <v>153.35300000000001</v>
      </c>
      <c r="M50" s="249">
        <f>'CUOTA INDUSTRIAL'!K45</f>
        <v>0</v>
      </c>
      <c r="N50" s="25" t="s">
        <v>56</v>
      </c>
      <c r="O50" s="26">
        <f>RESUMEN!$B$3</f>
        <v>45481</v>
      </c>
      <c r="P50" s="23">
        <f t="shared" si="3"/>
        <v>2024</v>
      </c>
      <c r="Q50" s="1"/>
    </row>
    <row r="51" spans="1:17">
      <c r="A51" s="22" t="s">
        <v>43</v>
      </c>
      <c r="B51" s="23" t="s">
        <v>39</v>
      </c>
      <c r="C51" s="23" t="s">
        <v>44</v>
      </c>
      <c r="D51" s="23" t="s">
        <v>40</v>
      </c>
      <c r="E51" s="1" t="str">
        <f>+'CUOTA INDUSTRIAL'!C$45</f>
        <v>LANDES S.A. SOC. PESQ.</v>
      </c>
      <c r="F51" s="4">
        <v>45566</v>
      </c>
      <c r="G51" s="4">
        <v>45657</v>
      </c>
      <c r="H51" s="24">
        <f>'CUOTA INDUSTRIAL'!F46</f>
        <v>17.088000000000001</v>
      </c>
      <c r="I51" s="3">
        <f>'CUOTA INDUSTRIAL'!G46</f>
        <v>0</v>
      </c>
      <c r="J51" s="3">
        <f>'CUOTA INDUSTRIAL'!H46</f>
        <v>170.441</v>
      </c>
      <c r="K51" s="3">
        <f>'CUOTA INDUSTRIAL'!I46</f>
        <v>0</v>
      </c>
      <c r="L51" s="3">
        <f>'CUOTA INDUSTRIAL'!J46</f>
        <v>170.441</v>
      </c>
      <c r="M51" s="249">
        <f>'CUOTA INDUSTRIAL'!K46</f>
        <v>0</v>
      </c>
      <c r="N51" s="25" t="s">
        <v>56</v>
      </c>
      <c r="O51" s="26">
        <f>RESUMEN!$B$3</f>
        <v>45481</v>
      </c>
      <c r="P51" s="23">
        <f t="shared" si="3"/>
        <v>2024</v>
      </c>
      <c r="Q51" s="1"/>
    </row>
    <row r="52" spans="1:17">
      <c r="A52" s="22" t="s">
        <v>43</v>
      </c>
      <c r="B52" s="23" t="s">
        <v>39</v>
      </c>
      <c r="C52" s="23" t="s">
        <v>44</v>
      </c>
      <c r="D52" s="23" t="s">
        <v>40</v>
      </c>
      <c r="E52" s="1" t="str">
        <f>+'CUOTA INDUSTRIAL'!C$45</f>
        <v>LANDES S.A. SOC. PESQ.</v>
      </c>
      <c r="F52" s="4">
        <v>45292</v>
      </c>
      <c r="G52" s="4">
        <v>45657</v>
      </c>
      <c r="H52" s="24">
        <f>'CUOTA INDUSTRIAL'!$L$45</f>
        <v>170.92699999999999</v>
      </c>
      <c r="I52" s="3">
        <f>+'CUOTA INDUSTRIAL'!M45</f>
        <v>-0.48599999999999999</v>
      </c>
      <c r="J52" s="3">
        <f>+'CUOTA INDUSTRIAL'!N45</f>
        <v>170.441</v>
      </c>
      <c r="K52" s="3">
        <f>+'CUOTA INDUSTRIAL'!O45</f>
        <v>0</v>
      </c>
      <c r="L52" s="3">
        <f>+'CUOTA INDUSTRIAL'!P45</f>
        <v>170.441</v>
      </c>
      <c r="M52" s="249">
        <f>+'CUOTA INDUSTRIAL'!Q45</f>
        <v>0</v>
      </c>
      <c r="N52" s="25" t="s">
        <v>56</v>
      </c>
      <c r="O52" s="26">
        <f>RESUMEN!$B$3</f>
        <v>45481</v>
      </c>
      <c r="P52" s="23">
        <f t="shared" si="3"/>
        <v>2024</v>
      </c>
      <c r="Q52" s="1"/>
    </row>
    <row r="53" spans="1:17">
      <c r="A53" s="22" t="s">
        <v>43</v>
      </c>
      <c r="B53" s="23" t="s">
        <v>39</v>
      </c>
      <c r="C53" s="23" t="s">
        <v>44</v>
      </c>
      <c r="D53" s="23" t="s">
        <v>40</v>
      </c>
      <c r="E53" s="1" t="str">
        <f>+'CUOTA INDUSTRIAL'!C$47</f>
        <v>LITORAL SPA PESQ.</v>
      </c>
      <c r="F53" s="4">
        <v>45292</v>
      </c>
      <c r="G53" s="4">
        <v>45565</v>
      </c>
      <c r="H53" s="24">
        <f>'CUOTA INDUSTRIAL'!F47</f>
        <v>98.320999999999998</v>
      </c>
      <c r="I53" s="3">
        <f>'CUOTA INDUSTRIAL'!G47</f>
        <v>0</v>
      </c>
      <c r="J53" s="3">
        <f>'CUOTA INDUSTRIAL'!H47</f>
        <v>98.320999999999998</v>
      </c>
      <c r="K53" s="3">
        <f>'CUOTA INDUSTRIAL'!I47</f>
        <v>0</v>
      </c>
      <c r="L53" s="3">
        <f>'CUOTA INDUSTRIAL'!J47</f>
        <v>98.320999999999998</v>
      </c>
      <c r="M53" s="249">
        <f>'CUOTA INDUSTRIAL'!K47</f>
        <v>0</v>
      </c>
      <c r="N53" s="25" t="s">
        <v>56</v>
      </c>
      <c r="O53" s="26">
        <f>RESUMEN!$B$3</f>
        <v>45481</v>
      </c>
      <c r="P53" s="23">
        <f t="shared" si="3"/>
        <v>2024</v>
      </c>
      <c r="Q53" s="1"/>
    </row>
    <row r="54" spans="1:17">
      <c r="A54" s="22" t="s">
        <v>43</v>
      </c>
      <c r="B54" s="23" t="s">
        <v>39</v>
      </c>
      <c r="C54" s="23" t="s">
        <v>44</v>
      </c>
      <c r="D54" s="23" t="s">
        <v>40</v>
      </c>
      <c r="E54" s="1" t="str">
        <f>+'CUOTA INDUSTRIAL'!C$47</f>
        <v>LITORAL SPA PESQ.</v>
      </c>
      <c r="F54" s="4">
        <v>45566</v>
      </c>
      <c r="G54" s="4">
        <v>45657</v>
      </c>
      <c r="H54" s="24">
        <f>'CUOTA INDUSTRIAL'!F48</f>
        <v>10.926</v>
      </c>
      <c r="I54" s="3">
        <f>'CUOTA INDUSTRIAL'!G48</f>
        <v>0</v>
      </c>
      <c r="J54" s="3">
        <f>'CUOTA INDUSTRIAL'!H48</f>
        <v>109.247</v>
      </c>
      <c r="K54" s="3">
        <f>'CUOTA INDUSTRIAL'!I48</f>
        <v>0</v>
      </c>
      <c r="L54" s="3">
        <f>'CUOTA INDUSTRIAL'!J48</f>
        <v>109.247</v>
      </c>
      <c r="M54" s="249">
        <f>'CUOTA INDUSTRIAL'!K48</f>
        <v>0</v>
      </c>
      <c r="N54" s="25" t="s">
        <v>56</v>
      </c>
      <c r="O54" s="26">
        <f>RESUMEN!$B$3</f>
        <v>45481</v>
      </c>
      <c r="P54" s="23">
        <f t="shared" si="3"/>
        <v>2024</v>
      </c>
      <c r="Q54" s="1"/>
    </row>
    <row r="55" spans="1:17">
      <c r="A55" s="22" t="s">
        <v>43</v>
      </c>
      <c r="B55" s="23" t="s">
        <v>39</v>
      </c>
      <c r="C55" s="23" t="s">
        <v>44</v>
      </c>
      <c r="D55" s="23" t="s">
        <v>40</v>
      </c>
      <c r="E55" s="1" t="str">
        <f>+'CUOTA INDUSTRIAL'!C$47</f>
        <v>LITORAL SPA PESQ.</v>
      </c>
      <c r="F55" s="4">
        <v>45292</v>
      </c>
      <c r="G55" s="4">
        <v>45657</v>
      </c>
      <c r="H55" s="24">
        <f>'CUOTA INDUSTRIAL'!$L$47</f>
        <v>109.247</v>
      </c>
      <c r="I55" s="3">
        <f>+'CUOTA INDUSTRIAL'!M47</f>
        <v>0</v>
      </c>
      <c r="J55" s="3">
        <f>+'CUOTA INDUSTRIAL'!N47</f>
        <v>109.247</v>
      </c>
      <c r="K55" s="3">
        <f>+'CUOTA INDUSTRIAL'!O47</f>
        <v>0</v>
      </c>
      <c r="L55" s="3">
        <f>+'CUOTA INDUSTRIAL'!P47</f>
        <v>109.247</v>
      </c>
      <c r="M55" s="249">
        <f>+'CUOTA INDUSTRIAL'!Q47</f>
        <v>0</v>
      </c>
      <c r="N55" s="25" t="s">
        <v>56</v>
      </c>
      <c r="O55" s="26">
        <f>RESUMEN!$B$3</f>
        <v>45481</v>
      </c>
      <c r="P55" s="23">
        <f t="shared" si="3"/>
        <v>2024</v>
      </c>
      <c r="Q55" s="1"/>
    </row>
    <row r="56" spans="1:17">
      <c r="A56" s="22" t="s">
        <v>43</v>
      </c>
      <c r="B56" s="23" t="s">
        <v>39</v>
      </c>
      <c r="C56" s="23" t="s">
        <v>44</v>
      </c>
      <c r="D56" s="23" t="s">
        <v>40</v>
      </c>
      <c r="E56" s="1" t="str">
        <f>+'CUOTA INDUSTRIAL'!C$49</f>
        <v>NOVAMAR SpA</v>
      </c>
      <c r="F56" s="4">
        <v>45292</v>
      </c>
      <c r="G56" s="4">
        <v>45565</v>
      </c>
      <c r="H56" s="24">
        <f>'CUOTA INDUSTRIAL'!F49</f>
        <v>212.10599999999999</v>
      </c>
      <c r="I56" s="3">
        <f>'CUOTA INDUSTRIAL'!G49</f>
        <v>-235.67599999999999</v>
      </c>
      <c r="J56" s="3">
        <f>'CUOTA INDUSTRIAL'!H49</f>
        <v>-23.569999999999993</v>
      </c>
      <c r="K56" s="3">
        <f>'CUOTA INDUSTRIAL'!I49</f>
        <v>0</v>
      </c>
      <c r="L56" s="3">
        <f>'CUOTA INDUSTRIAL'!J49</f>
        <v>-23.569999999999993</v>
      </c>
      <c r="M56" s="249">
        <f>'CUOTA INDUSTRIAL'!K49</f>
        <v>0.99999575690457698</v>
      </c>
      <c r="N56" s="25" t="s">
        <v>56</v>
      </c>
      <c r="O56" s="26">
        <f>RESUMEN!$B$3</f>
        <v>45481</v>
      </c>
      <c r="P56" s="23">
        <f t="shared" si="3"/>
        <v>2024</v>
      </c>
      <c r="Q56" s="1"/>
    </row>
    <row r="57" spans="1:17">
      <c r="A57" s="22" t="s">
        <v>43</v>
      </c>
      <c r="B57" s="23" t="s">
        <v>39</v>
      </c>
      <c r="C57" s="23" t="s">
        <v>44</v>
      </c>
      <c r="D57" s="23" t="s">
        <v>40</v>
      </c>
      <c r="E57" s="1" t="str">
        <f>+'CUOTA INDUSTRIAL'!C$49</f>
        <v>NOVAMAR SpA</v>
      </c>
      <c r="F57" s="4">
        <v>45566</v>
      </c>
      <c r="G57" s="4">
        <v>45657</v>
      </c>
      <c r="H57" s="24">
        <f>'CUOTA INDUSTRIAL'!F50</f>
        <v>23.571000000000002</v>
      </c>
      <c r="I57" s="3">
        <f>'CUOTA INDUSTRIAL'!G50</f>
        <v>0</v>
      </c>
      <c r="J57" s="3">
        <f>'CUOTA INDUSTRIAL'!H50</f>
        <v>1.0000000000083276E-3</v>
      </c>
      <c r="K57" s="3">
        <f>'CUOTA INDUSTRIAL'!I50</f>
        <v>0</v>
      </c>
      <c r="L57" s="3">
        <f>'CUOTA INDUSTRIAL'!J50</f>
        <v>1.0000000000083276E-3</v>
      </c>
      <c r="M57" s="249">
        <f>'CUOTA INDUSTRIAL'!K50</f>
        <v>0.99999575690457698</v>
      </c>
      <c r="N57" s="25" t="s">
        <v>56</v>
      </c>
      <c r="O57" s="26">
        <f>RESUMEN!$B$3</f>
        <v>45481</v>
      </c>
      <c r="P57" s="23">
        <f t="shared" si="3"/>
        <v>2024</v>
      </c>
      <c r="Q57" s="1"/>
    </row>
    <row r="58" spans="1:17">
      <c r="A58" s="22" t="s">
        <v>43</v>
      </c>
      <c r="B58" s="23" t="s">
        <v>39</v>
      </c>
      <c r="C58" s="23" t="s">
        <v>44</v>
      </c>
      <c r="D58" s="23" t="s">
        <v>40</v>
      </c>
      <c r="E58" s="1" t="str">
        <f>+'CUOTA INDUSTRIAL'!C$49</f>
        <v>NOVAMAR SpA</v>
      </c>
      <c r="F58" s="4">
        <v>45292</v>
      </c>
      <c r="G58" s="4">
        <v>45657</v>
      </c>
      <c r="H58" s="24">
        <f>'CUOTA INDUSTRIAL'!$L$49</f>
        <v>235.67699999999999</v>
      </c>
      <c r="I58" s="3">
        <f>+'CUOTA INDUSTRIAL'!M49</f>
        <v>-235.67599999999999</v>
      </c>
      <c r="J58" s="3">
        <f>+'CUOTA INDUSTRIAL'!N49</f>
        <v>1.0000000000047748E-3</v>
      </c>
      <c r="K58" s="3">
        <f>+'CUOTA INDUSTRIAL'!O49</f>
        <v>0</v>
      </c>
      <c r="L58" s="3">
        <f>+'CUOTA INDUSTRIAL'!P49</f>
        <v>1.0000000000047748E-3</v>
      </c>
      <c r="M58" s="249">
        <f>+'CUOTA INDUSTRIAL'!Q49</f>
        <v>0</v>
      </c>
      <c r="N58" s="25" t="s">
        <v>56</v>
      </c>
      <c r="O58" s="26">
        <f>RESUMEN!$B$3</f>
        <v>45481</v>
      </c>
      <c r="P58" s="23">
        <f t="shared" si="3"/>
        <v>2024</v>
      </c>
      <c r="Q58" s="1"/>
    </row>
    <row r="59" spans="1:17">
      <c r="A59" s="22" t="s">
        <v>43</v>
      </c>
      <c r="B59" s="23" t="s">
        <v>39</v>
      </c>
      <c r="C59" s="23" t="s">
        <v>44</v>
      </c>
      <c r="D59" s="23" t="s">
        <v>40</v>
      </c>
      <c r="E59" s="1" t="str">
        <f>+'CUOTA INDUSTRIAL'!C$51</f>
        <v>ORIZON S.A.</v>
      </c>
      <c r="F59" s="4">
        <v>45292</v>
      </c>
      <c r="G59" s="4">
        <v>45565</v>
      </c>
      <c r="H59" s="24">
        <f>'CUOTA INDUSTRIAL'!F51</f>
        <v>11199.145</v>
      </c>
      <c r="I59" s="3">
        <f>'CUOTA INDUSTRIAL'!G51</f>
        <v>-7652.2959999999985</v>
      </c>
      <c r="J59" s="3">
        <f>'CUOTA INDUSTRIAL'!H51</f>
        <v>3546.849000000002</v>
      </c>
      <c r="K59" s="3">
        <f>'CUOTA INDUSTRIAL'!I51</f>
        <v>4788.4070000000002</v>
      </c>
      <c r="L59" s="3">
        <f>'CUOTA INDUSTRIAL'!J51</f>
        <v>-1241.5579999999982</v>
      </c>
      <c r="M59" s="249">
        <f>'CUOTA INDUSTRIAL'!K51</f>
        <v>1.3500453501121692</v>
      </c>
      <c r="N59" s="25" t="s">
        <v>56</v>
      </c>
      <c r="O59" s="26">
        <f>RESUMEN!$B$3</f>
        <v>45481</v>
      </c>
      <c r="P59" s="23">
        <f t="shared" si="3"/>
        <v>2024</v>
      </c>
      <c r="Q59" s="1"/>
    </row>
    <row r="60" spans="1:17">
      <c r="A60" s="22" t="s">
        <v>43</v>
      </c>
      <c r="B60" s="23" t="s">
        <v>39</v>
      </c>
      <c r="C60" s="23" t="s">
        <v>44</v>
      </c>
      <c r="D60" s="23" t="s">
        <v>40</v>
      </c>
      <c r="E60" s="1" t="str">
        <f>+'CUOTA INDUSTRIAL'!C$51</f>
        <v>ORIZON S.A.</v>
      </c>
      <c r="F60" s="4">
        <v>45566</v>
      </c>
      <c r="G60" s="4">
        <v>45657</v>
      </c>
      <c r="H60" s="24">
        <f>'CUOTA INDUSTRIAL'!F52</f>
        <v>1244.52</v>
      </c>
      <c r="I60" s="3">
        <f>'CUOTA INDUSTRIAL'!G52</f>
        <v>0</v>
      </c>
      <c r="J60" s="3">
        <f>'CUOTA INDUSTRIAL'!H52</f>
        <v>2.9620000000018081</v>
      </c>
      <c r="K60" s="3">
        <f>'CUOTA INDUSTRIAL'!I52</f>
        <v>0</v>
      </c>
      <c r="L60" s="3">
        <f>'CUOTA INDUSTRIAL'!J52</f>
        <v>2.9620000000018081</v>
      </c>
      <c r="M60" s="249">
        <f>'CUOTA INDUSTRIAL'!K52</f>
        <v>0</v>
      </c>
      <c r="N60" s="25" t="s">
        <v>56</v>
      </c>
      <c r="O60" s="26">
        <f>RESUMEN!$B$3</f>
        <v>45481</v>
      </c>
      <c r="P60" s="23">
        <f t="shared" si="3"/>
        <v>2024</v>
      </c>
      <c r="Q60" s="1"/>
    </row>
    <row r="61" spans="1:17">
      <c r="A61" s="22" t="s">
        <v>43</v>
      </c>
      <c r="B61" s="23" t="s">
        <v>39</v>
      </c>
      <c r="C61" s="23" t="s">
        <v>44</v>
      </c>
      <c r="D61" s="23" t="s">
        <v>40</v>
      </c>
      <c r="E61" s="1" t="str">
        <f>+'CUOTA INDUSTRIAL'!C$51</f>
        <v>ORIZON S.A.</v>
      </c>
      <c r="F61" s="4">
        <v>45292</v>
      </c>
      <c r="G61" s="4">
        <v>45657</v>
      </c>
      <c r="H61" s="24">
        <f>'CUOTA INDUSTRIAL'!$L$51</f>
        <v>12443.665000000001</v>
      </c>
      <c r="I61" s="3">
        <f>+'CUOTA INDUSTRIAL'!M51</f>
        <v>-7652.2959999999985</v>
      </c>
      <c r="J61" s="3">
        <f>+'CUOTA INDUSTRIAL'!N51</f>
        <v>4791.3690000000024</v>
      </c>
      <c r="K61" s="3">
        <f>+'CUOTA INDUSTRIAL'!O51</f>
        <v>4788.4070000000002</v>
      </c>
      <c r="L61" s="3">
        <f>+'CUOTA INDUSTRIAL'!P51</f>
        <v>2.9620000000022628</v>
      </c>
      <c r="M61" s="249">
        <f>+'CUOTA INDUSTRIAL'!Q51</f>
        <v>0.99938180507491658</v>
      </c>
      <c r="N61" s="25" t="s">
        <v>56</v>
      </c>
      <c r="O61" s="26">
        <f>RESUMEN!$B$3</f>
        <v>45481</v>
      </c>
      <c r="P61" s="23">
        <f t="shared" si="3"/>
        <v>2024</v>
      </c>
      <c r="Q61" s="1"/>
    </row>
    <row r="62" spans="1:17">
      <c r="A62" s="22" t="s">
        <v>43</v>
      </c>
      <c r="B62" s="23" t="s">
        <v>39</v>
      </c>
      <c r="C62" s="23" t="s">
        <v>44</v>
      </c>
      <c r="D62" s="23" t="s">
        <v>40</v>
      </c>
      <c r="E62" s="1" t="str">
        <f>'CUOTA INDUSTRIAL'!$C$53</f>
        <v>SIPESUR SpA</v>
      </c>
      <c r="F62" s="4">
        <v>45292</v>
      </c>
      <c r="G62" s="4">
        <v>45565</v>
      </c>
      <c r="H62" s="24">
        <f>'CUOTA INDUSTRIAL'!F53</f>
        <v>589.923</v>
      </c>
      <c r="I62" s="3">
        <f>'CUOTA INDUSTRIAL'!G53</f>
        <v>-414.94700000000006</v>
      </c>
      <c r="J62" s="3">
        <f>'CUOTA INDUSTRIAL'!H53</f>
        <v>174.97599999999994</v>
      </c>
      <c r="K62" s="3">
        <f>'CUOTA INDUSTRIAL'!I53</f>
        <v>0</v>
      </c>
      <c r="L62" s="3">
        <f>'CUOTA INDUSTRIAL'!J53</f>
        <v>174.97599999999994</v>
      </c>
      <c r="M62" s="249">
        <f>'CUOTA INDUSTRIAL'!K53</f>
        <v>0</v>
      </c>
      <c r="N62" s="25" t="s">
        <v>56</v>
      </c>
      <c r="O62" s="26">
        <f>RESUMEN!$B$3</f>
        <v>45481</v>
      </c>
      <c r="P62" s="23">
        <f t="shared" si="3"/>
        <v>2024</v>
      </c>
      <c r="Q62" s="1"/>
    </row>
    <row r="63" spans="1:17">
      <c r="A63" s="22" t="s">
        <v>43</v>
      </c>
      <c r="B63" s="23" t="s">
        <v>39</v>
      </c>
      <c r="C63" s="23" t="s">
        <v>44</v>
      </c>
      <c r="D63" s="23" t="s">
        <v>40</v>
      </c>
      <c r="E63" s="1" t="str">
        <f>'CUOTA INDUSTRIAL'!$C$53</f>
        <v>SIPESUR SpA</v>
      </c>
      <c r="F63" s="4">
        <v>45566</v>
      </c>
      <c r="G63" s="4">
        <v>45657</v>
      </c>
      <c r="H63" s="24">
        <f>'CUOTA INDUSTRIAL'!F54</f>
        <v>65.555999999999997</v>
      </c>
      <c r="I63" s="3">
        <f>'CUOTA INDUSTRIAL'!G54</f>
        <v>0</v>
      </c>
      <c r="J63" s="3">
        <f>'CUOTA INDUSTRIAL'!H54</f>
        <v>240.53199999999993</v>
      </c>
      <c r="K63" s="3">
        <f>'CUOTA INDUSTRIAL'!I54</f>
        <v>0</v>
      </c>
      <c r="L63" s="3">
        <f>'CUOTA INDUSTRIAL'!J54</f>
        <v>240.53199999999993</v>
      </c>
      <c r="M63" s="249">
        <f>'CUOTA INDUSTRIAL'!K54</f>
        <v>0</v>
      </c>
      <c r="N63" s="25" t="s">
        <v>56</v>
      </c>
      <c r="O63" s="26">
        <f>RESUMEN!$B$3</f>
        <v>45481</v>
      </c>
      <c r="P63" s="23">
        <f t="shared" si="3"/>
        <v>2024</v>
      </c>
      <c r="Q63" s="1"/>
    </row>
    <row r="64" spans="1:17">
      <c r="A64" s="22" t="s">
        <v>43</v>
      </c>
      <c r="B64" s="23" t="s">
        <v>39</v>
      </c>
      <c r="C64" s="23" t="s">
        <v>44</v>
      </c>
      <c r="D64" s="23" t="s">
        <v>40</v>
      </c>
      <c r="E64" s="1" t="str">
        <f>'CUOTA INDUSTRIAL'!$C$53</f>
        <v>SIPESUR SpA</v>
      </c>
      <c r="F64" s="4">
        <v>45292</v>
      </c>
      <c r="G64" s="4">
        <v>45657</v>
      </c>
      <c r="H64" s="24">
        <f>'CUOTA INDUSTRIAL'!$L$53</f>
        <v>655.47900000000004</v>
      </c>
      <c r="I64" s="3">
        <f>+'CUOTA INDUSTRIAL'!M53</f>
        <v>-414.94700000000006</v>
      </c>
      <c r="J64" s="3">
        <f>+'CUOTA INDUSTRIAL'!N53</f>
        <v>240.53199999999998</v>
      </c>
      <c r="K64" s="3">
        <f>+'CUOTA INDUSTRIAL'!O53</f>
        <v>0</v>
      </c>
      <c r="L64" s="3">
        <f>+'CUOTA INDUSTRIAL'!P53</f>
        <v>240.53199999999998</v>
      </c>
      <c r="M64" s="249">
        <f>+'CUOTA INDUSTRIAL'!Q53</f>
        <v>0</v>
      </c>
      <c r="N64" s="25" t="s">
        <v>56</v>
      </c>
      <c r="O64" s="26">
        <f>RESUMEN!$B$3</f>
        <v>45481</v>
      </c>
      <c r="P64" s="23">
        <f t="shared" si="3"/>
        <v>2024</v>
      </c>
      <c r="Q64" s="1"/>
    </row>
    <row r="65" spans="1:17">
      <c r="A65" s="22" t="s">
        <v>43</v>
      </c>
      <c r="B65" s="23" t="s">
        <v>39</v>
      </c>
      <c r="C65" s="23" t="s">
        <v>44</v>
      </c>
      <c r="D65" s="23" t="s">
        <v>40</v>
      </c>
      <c r="E65" s="1" t="str">
        <f>'CUOTA INDUSTRIAL'!$C$55</f>
        <v>INVERSIONES PESQUERAS SpA</v>
      </c>
      <c r="F65" s="4">
        <v>45292</v>
      </c>
      <c r="G65" s="4">
        <v>45565</v>
      </c>
      <c r="H65" s="24">
        <f>'CUOTA INDUSTRIAL'!F55</f>
        <v>0</v>
      </c>
      <c r="I65" s="24">
        <f>'CUOTA INDUSTRIAL'!G55</f>
        <v>0</v>
      </c>
      <c r="J65" s="24">
        <f>'CUOTA INDUSTRIAL'!H55</f>
        <v>0</v>
      </c>
      <c r="K65" s="24">
        <f>'CUOTA INDUSTRIAL'!I55</f>
        <v>0</v>
      </c>
      <c r="L65" s="24">
        <f>'CUOTA INDUSTRIAL'!J55</f>
        <v>0</v>
      </c>
      <c r="M65" s="251" t="e">
        <f>'CUOTA INDUSTRIAL'!K55</f>
        <v>#DIV/0!</v>
      </c>
      <c r="N65" s="25" t="s">
        <v>56</v>
      </c>
      <c r="O65" s="26">
        <f>RESUMEN!$B$3</f>
        <v>45481</v>
      </c>
      <c r="P65" s="23">
        <f t="shared" ref="P65:P70" si="4">YEAR(O65)</f>
        <v>2024</v>
      </c>
      <c r="Q65" s="1"/>
    </row>
    <row r="66" spans="1:17">
      <c r="A66" s="22" t="s">
        <v>43</v>
      </c>
      <c r="B66" s="23" t="s">
        <v>39</v>
      </c>
      <c r="C66" s="23" t="s">
        <v>44</v>
      </c>
      <c r="D66" s="23" t="s">
        <v>40</v>
      </c>
      <c r="E66" s="1" t="str">
        <f>'CUOTA INDUSTRIAL'!$C$55</f>
        <v>INVERSIONES PESQUERAS SpA</v>
      </c>
      <c r="F66" s="4">
        <v>45566</v>
      </c>
      <c r="G66" s="4">
        <v>45657</v>
      </c>
      <c r="H66" s="24">
        <f>'CUOTA INDUSTRIAL'!F56</f>
        <v>0</v>
      </c>
      <c r="I66" s="24">
        <f>'CUOTA INDUSTRIAL'!G56</f>
        <v>0</v>
      </c>
      <c r="J66" s="24">
        <f>'CUOTA INDUSTRIAL'!H56</f>
        <v>0</v>
      </c>
      <c r="K66" s="24">
        <f>'CUOTA INDUSTRIAL'!I56</f>
        <v>0</v>
      </c>
      <c r="L66" s="24">
        <f>'CUOTA INDUSTRIAL'!J56</f>
        <v>0</v>
      </c>
      <c r="M66" s="251" t="e">
        <f>'CUOTA INDUSTRIAL'!K56</f>
        <v>#DIV/0!</v>
      </c>
      <c r="N66" s="25" t="s">
        <v>56</v>
      </c>
      <c r="O66" s="26">
        <f>RESUMEN!$B$3</f>
        <v>45481</v>
      </c>
      <c r="P66" s="23">
        <f t="shared" si="4"/>
        <v>2024</v>
      </c>
      <c r="Q66" s="1"/>
    </row>
    <row r="67" spans="1:17">
      <c r="A67" s="22" t="s">
        <v>43</v>
      </c>
      <c r="B67" s="23" t="s">
        <v>39</v>
      </c>
      <c r="C67" s="23" t="s">
        <v>44</v>
      </c>
      <c r="D67" s="23" t="s">
        <v>40</v>
      </c>
      <c r="E67" s="1" t="str">
        <f>'CUOTA INDUSTRIAL'!$C$55</f>
        <v>INVERSIONES PESQUERAS SpA</v>
      </c>
      <c r="F67" s="4">
        <v>45292</v>
      </c>
      <c r="G67" s="4">
        <v>45657</v>
      </c>
      <c r="H67" s="24">
        <f>'CUOTA INDUSTRIAL'!$L$55</f>
        <v>0</v>
      </c>
      <c r="I67" s="24">
        <f>'CUOTA INDUSTRIAL'!$L$55</f>
        <v>0</v>
      </c>
      <c r="J67" s="24">
        <f>'CUOTA INDUSTRIAL'!$L$55</f>
        <v>0</v>
      </c>
      <c r="K67" s="24">
        <f>'CUOTA INDUSTRIAL'!$L$55</f>
        <v>0</v>
      </c>
      <c r="L67" s="24">
        <f>'CUOTA INDUSTRIAL'!$L$55</f>
        <v>0</v>
      </c>
      <c r="M67" s="251">
        <f>'CUOTA INDUSTRIAL'!$L$55</f>
        <v>0</v>
      </c>
      <c r="N67" s="25" t="s">
        <v>56</v>
      </c>
      <c r="O67" s="26">
        <f>RESUMEN!$B$3</f>
        <v>45481</v>
      </c>
      <c r="P67" s="23">
        <f t="shared" si="4"/>
        <v>2024</v>
      </c>
      <c r="Q67" s="1"/>
    </row>
    <row r="68" spans="1:17">
      <c r="A68" s="22" t="s">
        <v>43</v>
      </c>
      <c r="B68" s="23" t="s">
        <v>39</v>
      </c>
      <c r="C68" s="23" t="s">
        <v>44</v>
      </c>
      <c r="D68" s="23" t="s">
        <v>40</v>
      </c>
      <c r="E68" s="1" t="str">
        <f>'CUOTA INDUSTRIAL'!$C$57</f>
        <v>COMERCIAL Y CONSERVERA SAN LAZARO LIMITADA</v>
      </c>
      <c r="F68" s="4">
        <v>45292</v>
      </c>
      <c r="G68" s="4">
        <v>45565</v>
      </c>
      <c r="H68" s="24">
        <f>'CUOTA INDUSTRIAL'!F57</f>
        <v>0</v>
      </c>
      <c r="I68" s="24">
        <f>'CUOTA INDUSTRIAL'!G57</f>
        <v>291.32800000000003</v>
      </c>
      <c r="J68" s="24">
        <f>'CUOTA INDUSTRIAL'!H57</f>
        <v>291.32800000000003</v>
      </c>
      <c r="K68" s="24">
        <f>'CUOTA INDUSTRIAL'!I57</f>
        <v>0</v>
      </c>
      <c r="L68" s="24">
        <f>'CUOTA INDUSTRIAL'!J57</f>
        <v>291.32800000000003</v>
      </c>
      <c r="M68" s="251">
        <f>'CUOTA INDUSTRIAL'!K57</f>
        <v>0</v>
      </c>
      <c r="N68" s="25" t="s">
        <v>56</v>
      </c>
      <c r="O68" s="26">
        <f>RESUMEN!$B$3</f>
        <v>45481</v>
      </c>
      <c r="P68" s="23">
        <f t="shared" si="4"/>
        <v>2024</v>
      </c>
      <c r="Q68" s="1"/>
    </row>
    <row r="69" spans="1:17">
      <c r="A69" s="22" t="s">
        <v>43</v>
      </c>
      <c r="B69" s="23" t="s">
        <v>39</v>
      </c>
      <c r="C69" s="23" t="s">
        <v>44</v>
      </c>
      <c r="D69" s="23" t="s">
        <v>40</v>
      </c>
      <c r="E69" s="1" t="str">
        <f>'CUOTA INDUSTRIAL'!$C$57</f>
        <v>COMERCIAL Y CONSERVERA SAN LAZARO LIMITADA</v>
      </c>
      <c r="F69" s="4">
        <v>45566</v>
      </c>
      <c r="G69" s="4">
        <v>45657</v>
      </c>
      <c r="H69" s="24">
        <f>'CUOTA INDUSTRIAL'!F58</f>
        <v>0</v>
      </c>
      <c r="I69" s="24">
        <f>'CUOTA INDUSTRIAL'!G58</f>
        <v>0</v>
      </c>
      <c r="J69" s="24">
        <f>'CUOTA INDUSTRIAL'!H58</f>
        <v>291.32800000000003</v>
      </c>
      <c r="K69" s="24">
        <f>'CUOTA INDUSTRIAL'!I58</f>
        <v>0</v>
      </c>
      <c r="L69" s="24">
        <f>'CUOTA INDUSTRIAL'!J58</f>
        <v>291.32800000000003</v>
      </c>
      <c r="M69" s="251">
        <f>'CUOTA INDUSTRIAL'!K58</f>
        <v>0</v>
      </c>
      <c r="N69" s="25" t="s">
        <v>56</v>
      </c>
      <c r="O69" s="26">
        <f>RESUMEN!$B$3</f>
        <v>45481</v>
      </c>
      <c r="P69" s="23">
        <f t="shared" si="4"/>
        <v>2024</v>
      </c>
      <c r="Q69" s="1"/>
    </row>
    <row r="70" spans="1:17">
      <c r="A70" s="22" t="s">
        <v>43</v>
      </c>
      <c r="B70" s="23" t="s">
        <v>39</v>
      </c>
      <c r="C70" s="23" t="s">
        <v>44</v>
      </c>
      <c r="D70" s="23" t="s">
        <v>40</v>
      </c>
      <c r="E70" s="1" t="str">
        <f>'CUOTA INDUSTRIAL'!$C$57</f>
        <v>COMERCIAL Y CONSERVERA SAN LAZARO LIMITADA</v>
      </c>
      <c r="F70" s="4">
        <v>45292</v>
      </c>
      <c r="G70" s="4">
        <v>45657</v>
      </c>
      <c r="H70" s="24">
        <f>'CUOTA INDUSTRIAL'!$L$57</f>
        <v>0</v>
      </c>
      <c r="I70" s="24">
        <f>'CUOTA INDUSTRIAL'!$L$57</f>
        <v>0</v>
      </c>
      <c r="J70" s="24">
        <f>'CUOTA INDUSTRIAL'!$L$57</f>
        <v>0</v>
      </c>
      <c r="K70" s="24">
        <f>'CUOTA INDUSTRIAL'!$L$57</f>
        <v>0</v>
      </c>
      <c r="L70" s="24">
        <f>'CUOTA INDUSTRIAL'!$L$57</f>
        <v>0</v>
      </c>
      <c r="M70" s="251">
        <f>'CUOTA INDUSTRIAL'!$L$57</f>
        <v>0</v>
      </c>
      <c r="N70" s="25" t="s">
        <v>56</v>
      </c>
      <c r="O70" s="26">
        <f>RESUMEN!$B$3</f>
        <v>45481</v>
      </c>
      <c r="P70" s="23">
        <f t="shared" si="4"/>
        <v>2024</v>
      </c>
      <c r="Q70" s="1"/>
    </row>
    <row r="71" spans="1:17">
      <c r="A71" s="22" t="s">
        <v>43</v>
      </c>
      <c r="B71" s="23" t="s">
        <v>39</v>
      </c>
      <c r="C71" s="23" t="s">
        <v>44</v>
      </c>
      <c r="D71" s="23" t="s">
        <v>40</v>
      </c>
      <c r="E71" s="1" t="str">
        <f>'CUOTA INDUSTRIAL'!$C$59</f>
        <v>CAMANCHACA S.A.</v>
      </c>
      <c r="F71" s="4">
        <v>45292</v>
      </c>
      <c r="G71" s="4">
        <v>45565</v>
      </c>
      <c r="H71" s="24">
        <f>'CUOTA INDUSTRIAL'!F59</f>
        <v>0</v>
      </c>
      <c r="I71" s="24">
        <f>'CUOTA INDUSTRIAL'!G59</f>
        <v>361.94600000000003</v>
      </c>
      <c r="J71" s="24">
        <f>'CUOTA INDUSTRIAL'!H59</f>
        <v>361.94600000000003</v>
      </c>
      <c r="K71" s="24">
        <f>'CUOTA INDUSTRIAL'!I59</f>
        <v>0</v>
      </c>
      <c r="L71" s="24">
        <f>'CUOTA INDUSTRIAL'!J59</f>
        <v>361.94600000000003</v>
      </c>
      <c r="M71" s="403">
        <f>'CUOTA INDUSTRIAL'!K59</f>
        <v>0</v>
      </c>
      <c r="N71" s="25" t="s">
        <v>56</v>
      </c>
      <c r="O71" s="26">
        <f>RESUMEN!$B$3</f>
        <v>45481</v>
      </c>
      <c r="P71" s="23">
        <f t="shared" ref="P71:P73" si="5">YEAR(O71)</f>
        <v>2024</v>
      </c>
      <c r="Q71" s="1"/>
    </row>
    <row r="72" spans="1:17">
      <c r="A72" s="22" t="s">
        <v>43</v>
      </c>
      <c r="B72" s="23" t="s">
        <v>39</v>
      </c>
      <c r="C72" s="23" t="s">
        <v>44</v>
      </c>
      <c r="D72" s="23" t="s">
        <v>40</v>
      </c>
      <c r="E72" s="1" t="str">
        <f>'CUOTA INDUSTRIAL'!$C$59</f>
        <v>CAMANCHACA S.A.</v>
      </c>
      <c r="F72" s="4">
        <v>45566</v>
      </c>
      <c r="G72" s="4">
        <v>45657</v>
      </c>
      <c r="H72" s="24">
        <f>'CUOTA INDUSTRIAL'!F60</f>
        <v>0</v>
      </c>
      <c r="I72" s="24">
        <f>'CUOTA INDUSTRIAL'!G60</f>
        <v>0</v>
      </c>
      <c r="J72" s="24">
        <f>'CUOTA INDUSTRIAL'!H60</f>
        <v>361.94600000000003</v>
      </c>
      <c r="K72" s="24">
        <f>'CUOTA INDUSTRIAL'!I60</f>
        <v>0</v>
      </c>
      <c r="L72" s="24">
        <f>'CUOTA INDUSTRIAL'!J60</f>
        <v>361.94600000000003</v>
      </c>
      <c r="M72" s="403">
        <f>'CUOTA INDUSTRIAL'!K60</f>
        <v>0</v>
      </c>
      <c r="N72" s="25" t="s">
        <v>56</v>
      </c>
      <c r="O72" s="26">
        <f>RESUMEN!$B$3</f>
        <v>45481</v>
      </c>
      <c r="P72" s="23">
        <f t="shared" si="5"/>
        <v>2024</v>
      </c>
      <c r="Q72" s="1"/>
    </row>
    <row r="73" spans="1:17">
      <c r="A73" s="22" t="s">
        <v>43</v>
      </c>
      <c r="B73" s="23" t="s">
        <v>39</v>
      </c>
      <c r="C73" s="23" t="s">
        <v>44</v>
      </c>
      <c r="D73" s="23" t="s">
        <v>40</v>
      </c>
      <c r="E73" s="1" t="str">
        <f>'CUOTA INDUSTRIAL'!$C$59</f>
        <v>CAMANCHACA S.A.</v>
      </c>
      <c r="F73" s="4">
        <v>45292</v>
      </c>
      <c r="G73" s="4">
        <v>45657</v>
      </c>
      <c r="H73" s="24">
        <f>'CUOTA INDUSTRIAL'!$L$59</f>
        <v>0</v>
      </c>
      <c r="I73" s="24">
        <f>'CUOTA INDUSTRIAL'!M59</f>
        <v>361.94600000000003</v>
      </c>
      <c r="J73" s="24">
        <f>'CUOTA INDUSTRIAL'!N59</f>
        <v>361.94600000000003</v>
      </c>
      <c r="K73" s="24">
        <f>'CUOTA INDUSTRIAL'!O59</f>
        <v>0</v>
      </c>
      <c r="L73" s="24">
        <f>'CUOTA INDUSTRIAL'!P59</f>
        <v>361.94600000000003</v>
      </c>
      <c r="M73" s="403">
        <f>'CUOTA INDUSTRIAL'!Q59</f>
        <v>0</v>
      </c>
      <c r="N73" s="25" t="s">
        <v>56</v>
      </c>
      <c r="O73" s="26">
        <f>RESUMEN!$B$3</f>
        <v>45481</v>
      </c>
      <c r="P73" s="23">
        <f t="shared" si="5"/>
        <v>2024</v>
      </c>
      <c r="Q73" s="1"/>
    </row>
    <row r="74" spans="1:17">
      <c r="A74" s="22" t="s">
        <v>43</v>
      </c>
      <c r="B74" s="23" t="s">
        <v>39</v>
      </c>
      <c r="C74" s="23" t="s">
        <v>44</v>
      </c>
      <c r="D74" s="23" t="s">
        <v>40</v>
      </c>
      <c r="E74" s="1" t="str">
        <f>'CUOTA INDUSTRIAL'!$C$61</f>
        <v>THOR FISHERIES CHILE SPA.</v>
      </c>
      <c r="F74" s="4">
        <v>45292</v>
      </c>
      <c r="G74" s="4">
        <v>45565</v>
      </c>
      <c r="H74" s="24">
        <f>'CUOTA INDUSTRIAL'!F61</f>
        <v>0.218</v>
      </c>
      <c r="I74" s="3">
        <f>'CUOTA INDUSTRIAL'!G61</f>
        <v>0.48599999999999999</v>
      </c>
      <c r="J74" s="3">
        <f>'CUOTA INDUSTRIAL'!H61</f>
        <v>0.70399999999999996</v>
      </c>
      <c r="K74" s="3">
        <f>'CUOTA INDUSTRIAL'!I61</f>
        <v>0</v>
      </c>
      <c r="L74" s="3">
        <f>'CUOTA INDUSTRIAL'!J61</f>
        <v>0.70399999999999996</v>
      </c>
      <c r="M74" s="249">
        <f>'CUOTA INDUSTRIAL'!K61</f>
        <v>0</v>
      </c>
      <c r="N74" s="25" t="s">
        <v>56</v>
      </c>
      <c r="O74" s="26">
        <f>RESUMEN!$B$3</f>
        <v>45481</v>
      </c>
      <c r="P74" s="23">
        <f t="shared" si="3"/>
        <v>2024</v>
      </c>
      <c r="Q74" s="1"/>
    </row>
    <row r="75" spans="1:17">
      <c r="A75" s="22" t="s">
        <v>43</v>
      </c>
      <c r="B75" s="23" t="s">
        <v>39</v>
      </c>
      <c r="C75" s="23" t="s">
        <v>44</v>
      </c>
      <c r="D75" s="23" t="s">
        <v>40</v>
      </c>
      <c r="E75" s="1" t="str">
        <f>'CUOTA INDUSTRIAL'!$C$61</f>
        <v>THOR FISHERIES CHILE SPA.</v>
      </c>
      <c r="F75" s="4">
        <v>45566</v>
      </c>
      <c r="G75" s="4">
        <v>45657</v>
      </c>
      <c r="H75" s="24">
        <f>'CUOTA INDUSTRIAL'!F62</f>
        <v>2.4E-2</v>
      </c>
      <c r="I75" s="3">
        <f>'CUOTA INDUSTRIAL'!G62</f>
        <v>0</v>
      </c>
      <c r="J75" s="3">
        <f>'CUOTA INDUSTRIAL'!H62</f>
        <v>0.72799999999999998</v>
      </c>
      <c r="K75" s="3">
        <f>'CUOTA INDUSTRIAL'!I62</f>
        <v>0</v>
      </c>
      <c r="L75" s="3">
        <f>'CUOTA INDUSTRIAL'!J62</f>
        <v>0.72799999999999998</v>
      </c>
      <c r="M75" s="249">
        <f>'CUOTA INDUSTRIAL'!K62</f>
        <v>0</v>
      </c>
      <c r="N75" s="25" t="s">
        <v>56</v>
      </c>
      <c r="O75" s="26">
        <f>RESUMEN!$B$3</f>
        <v>45481</v>
      </c>
      <c r="P75" s="23">
        <f t="shared" si="3"/>
        <v>2024</v>
      </c>
      <c r="Q75" s="1"/>
    </row>
    <row r="76" spans="1:17" ht="15.75" thickBot="1">
      <c r="A76" s="51" t="s">
        <v>43</v>
      </c>
      <c r="B76" s="49" t="s">
        <v>39</v>
      </c>
      <c r="C76" s="49" t="s">
        <v>44</v>
      </c>
      <c r="D76" s="49" t="s">
        <v>40</v>
      </c>
      <c r="E76" s="48" t="str">
        <f>'CUOTA INDUSTRIAL'!$C$61</f>
        <v>THOR FISHERIES CHILE SPA.</v>
      </c>
      <c r="F76" s="50">
        <v>45292</v>
      </c>
      <c r="G76" s="50">
        <v>45657</v>
      </c>
      <c r="H76" s="52">
        <f>'CUOTA INDUSTRIAL'!$L$61</f>
        <v>0.24199999999999999</v>
      </c>
      <c r="I76" s="52">
        <f>'CUOTA INDUSTRIAL'!M61</f>
        <v>0.48599999999999999</v>
      </c>
      <c r="J76" s="52">
        <f>'CUOTA INDUSTRIAL'!N61</f>
        <v>0.72799999999999998</v>
      </c>
      <c r="K76" s="52">
        <f>'CUOTA INDUSTRIAL'!O61</f>
        <v>0</v>
      </c>
      <c r="L76" s="52">
        <f>'CUOTA INDUSTRIAL'!P61</f>
        <v>0.72799999999999998</v>
      </c>
      <c r="M76" s="250">
        <f>'CUOTA INDUSTRIAL'!Q61</f>
        <v>0</v>
      </c>
      <c r="N76" s="50" t="s">
        <v>56</v>
      </c>
      <c r="O76" s="53">
        <f>RESUMEN!$B$3</f>
        <v>45481</v>
      </c>
      <c r="P76" s="49">
        <f t="shared" si="3"/>
        <v>2024</v>
      </c>
      <c r="Q76" s="49"/>
    </row>
    <row r="77" spans="1:17" ht="15.75" thickTop="1">
      <c r="A77" s="22" t="s">
        <v>45</v>
      </c>
      <c r="B77" s="23" t="s">
        <v>39</v>
      </c>
      <c r="C77" s="23" t="s">
        <v>19</v>
      </c>
      <c r="D77" s="23" t="s">
        <v>40</v>
      </c>
      <c r="E77" s="23" t="str">
        <f>+'CUOTA INDUSTRIAL'!C$69</f>
        <v>ALIMENTOS MARINOS S.A.</v>
      </c>
      <c r="F77" s="25">
        <v>45292</v>
      </c>
      <c r="G77" s="25">
        <v>45565</v>
      </c>
      <c r="H77" s="24">
        <f>'CUOTA INDUSTRIAL'!F69</f>
        <v>56237.974000000002</v>
      </c>
      <c r="I77" s="24">
        <f>'CUOTA INDUSTRIAL'!G69</f>
        <v>8129</v>
      </c>
      <c r="J77" s="24">
        <f>'CUOTA INDUSTRIAL'!H69</f>
        <v>64366.974000000002</v>
      </c>
      <c r="K77" s="24">
        <f>'CUOTA INDUSTRIAL'!I69</f>
        <v>67513.441000000006</v>
      </c>
      <c r="L77" s="24">
        <f>'CUOTA INDUSTRIAL'!J69</f>
        <v>-3146.4670000000042</v>
      </c>
      <c r="M77" s="251">
        <f>'CUOTA INDUSTRIAL'!K69</f>
        <v>1.0488832518365707</v>
      </c>
      <c r="N77" s="25" t="s">
        <v>56</v>
      </c>
      <c r="O77" s="26">
        <f>RESUMEN!$B$3</f>
        <v>45481</v>
      </c>
      <c r="P77" s="23">
        <f t="shared" si="0"/>
        <v>2024</v>
      </c>
      <c r="Q77" s="23"/>
    </row>
    <row r="78" spans="1:17">
      <c r="A78" s="22" t="s">
        <v>45</v>
      </c>
      <c r="B78" s="23" t="s">
        <v>39</v>
      </c>
      <c r="C78" s="23" t="s">
        <v>19</v>
      </c>
      <c r="D78" s="23" t="s">
        <v>40</v>
      </c>
      <c r="E78" s="23" t="str">
        <f>+'CUOTA INDUSTRIAL'!C$69</f>
        <v>ALIMENTOS MARINOS S.A.</v>
      </c>
      <c r="F78" s="4">
        <v>45566</v>
      </c>
      <c r="G78" s="4">
        <v>45657</v>
      </c>
      <c r="H78" s="24">
        <f>'CUOTA INDUSTRIAL'!F70</f>
        <v>6248.7039999999997</v>
      </c>
      <c r="I78" s="24">
        <f>'CUOTA INDUSTRIAL'!G70</f>
        <v>0</v>
      </c>
      <c r="J78" s="24">
        <f>'CUOTA INDUSTRIAL'!H70</f>
        <v>3102.2369999999955</v>
      </c>
      <c r="K78" s="24">
        <f>'CUOTA INDUSTRIAL'!I70</f>
        <v>0</v>
      </c>
      <c r="L78" s="24">
        <f>'CUOTA INDUSTRIAL'!J70</f>
        <v>3102.2369999999955</v>
      </c>
      <c r="M78" s="251">
        <f>'CUOTA INDUSTRIAL'!K70</f>
        <v>0</v>
      </c>
      <c r="N78" s="25" t="s">
        <v>56</v>
      </c>
      <c r="O78" s="26">
        <f>RESUMEN!$B$3</f>
        <v>45481</v>
      </c>
      <c r="P78" s="23">
        <f t="shared" ref="P78:P146" si="6">YEAR(O78)</f>
        <v>2024</v>
      </c>
      <c r="Q78" s="23"/>
    </row>
    <row r="79" spans="1:17">
      <c r="A79" s="22" t="s">
        <v>45</v>
      </c>
      <c r="B79" s="23" t="s">
        <v>39</v>
      </c>
      <c r="C79" s="23" t="s">
        <v>19</v>
      </c>
      <c r="D79" s="23" t="s">
        <v>40</v>
      </c>
      <c r="E79" s="23" t="str">
        <f>+'CUOTA INDUSTRIAL'!C$69</f>
        <v>ALIMENTOS MARINOS S.A.</v>
      </c>
      <c r="F79" s="4">
        <v>45292</v>
      </c>
      <c r="G79" s="4">
        <v>45657</v>
      </c>
      <c r="H79" s="24">
        <f>+'CUOTA INDUSTRIAL'!$L$69</f>
        <v>62486.678</v>
      </c>
      <c r="I79" s="24">
        <f>'CUOTA INDUSTRIAL'!M69</f>
        <v>8129</v>
      </c>
      <c r="J79" s="24">
        <f>'CUOTA INDUSTRIAL'!N69</f>
        <v>70615.678</v>
      </c>
      <c r="K79" s="24">
        <f>'CUOTA INDUSTRIAL'!O69</f>
        <v>67513.441000000006</v>
      </c>
      <c r="L79" s="24">
        <f>'CUOTA INDUSTRIAL'!P69</f>
        <v>3102.2369999999937</v>
      </c>
      <c r="M79" s="251">
        <f>'CUOTA INDUSTRIAL'!Q69</f>
        <v>0.95606872173626944</v>
      </c>
      <c r="N79" s="25" t="s">
        <v>56</v>
      </c>
      <c r="O79" s="26">
        <f>RESUMEN!$B$3</f>
        <v>45481</v>
      </c>
      <c r="P79" s="23">
        <f t="shared" si="6"/>
        <v>2024</v>
      </c>
      <c r="Q79" s="23"/>
    </row>
    <row r="80" spans="1:17">
      <c r="A80" s="22" t="s">
        <v>45</v>
      </c>
      <c r="B80" s="23" t="s">
        <v>39</v>
      </c>
      <c r="C80" s="23" t="s">
        <v>19</v>
      </c>
      <c r="D80" s="23" t="s">
        <v>40</v>
      </c>
      <c r="E80" s="1" t="str">
        <f>+'CUOTA INDUSTRIAL'!C$71</f>
        <v>ANTONIO CRUZ CORDOVA NAKOUZI E.I.R.L.</v>
      </c>
      <c r="F80" s="4">
        <v>45292</v>
      </c>
      <c r="G80" s="4">
        <v>45565</v>
      </c>
      <c r="H80" s="24">
        <f>'CUOTA INDUSTRIAL'!F71</f>
        <v>4.6870000000000003</v>
      </c>
      <c r="I80" s="24">
        <f>'CUOTA INDUSTRIAL'!G71</f>
        <v>0</v>
      </c>
      <c r="J80" s="24">
        <f>'CUOTA INDUSTRIAL'!H71</f>
        <v>4.6870000000000003</v>
      </c>
      <c r="K80" s="24">
        <f>'CUOTA INDUSTRIAL'!I71</f>
        <v>3.956</v>
      </c>
      <c r="L80" s="24">
        <f>'CUOTA INDUSTRIAL'!J71</f>
        <v>0.73100000000000032</v>
      </c>
      <c r="M80" s="251">
        <f>'CUOTA INDUSTRIAL'!K71</f>
        <v>0.84403669724770636</v>
      </c>
      <c r="N80" s="25" t="s">
        <v>56</v>
      </c>
      <c r="O80" s="26">
        <f>RESUMEN!$B$3</f>
        <v>45481</v>
      </c>
      <c r="P80" s="23">
        <f t="shared" si="6"/>
        <v>2024</v>
      </c>
      <c r="Q80" s="1"/>
    </row>
    <row r="81" spans="1:17">
      <c r="A81" s="22" t="s">
        <v>45</v>
      </c>
      <c r="B81" s="23" t="s">
        <v>39</v>
      </c>
      <c r="C81" s="23" t="s">
        <v>19</v>
      </c>
      <c r="D81" s="23" t="s">
        <v>40</v>
      </c>
      <c r="E81" s="1" t="str">
        <f>+'CUOTA INDUSTRIAL'!C$71</f>
        <v>ANTONIO CRUZ CORDOVA NAKOUZI E.I.R.L.</v>
      </c>
      <c r="F81" s="4">
        <v>45566</v>
      </c>
      <c r="G81" s="4">
        <v>45657</v>
      </c>
      <c r="H81" s="24">
        <f>'CUOTA INDUSTRIAL'!F72</f>
        <v>0.52100000000000002</v>
      </c>
      <c r="I81" s="24">
        <f>'CUOTA INDUSTRIAL'!G72</f>
        <v>0</v>
      </c>
      <c r="J81" s="24">
        <f>'CUOTA INDUSTRIAL'!H72</f>
        <v>1.2520000000000002</v>
      </c>
      <c r="K81" s="24">
        <f>'CUOTA INDUSTRIAL'!I72</f>
        <v>0</v>
      </c>
      <c r="L81" s="24">
        <f>'CUOTA INDUSTRIAL'!J72</f>
        <v>1.2520000000000002</v>
      </c>
      <c r="M81" s="251">
        <f>'CUOTA INDUSTRIAL'!K72</f>
        <v>0</v>
      </c>
      <c r="N81" s="25" t="s">
        <v>56</v>
      </c>
      <c r="O81" s="26">
        <f>RESUMEN!$B$3</f>
        <v>45481</v>
      </c>
      <c r="P81" s="23">
        <f t="shared" si="6"/>
        <v>2024</v>
      </c>
      <c r="Q81" s="1"/>
    </row>
    <row r="82" spans="1:17">
      <c r="A82" s="22" t="s">
        <v>45</v>
      </c>
      <c r="B82" s="23" t="s">
        <v>39</v>
      </c>
      <c r="C82" s="23" t="s">
        <v>19</v>
      </c>
      <c r="D82" s="23" t="s">
        <v>40</v>
      </c>
      <c r="E82" s="1" t="str">
        <f>+'CUOTA INDUSTRIAL'!C$71</f>
        <v>ANTONIO CRUZ CORDOVA NAKOUZI E.I.R.L.</v>
      </c>
      <c r="F82" s="4">
        <v>45292</v>
      </c>
      <c r="G82" s="4">
        <v>45657</v>
      </c>
      <c r="H82" s="24">
        <f>+'CUOTA INDUSTRIAL'!$L$71</f>
        <v>5.2080000000000002</v>
      </c>
      <c r="I82" s="3">
        <f>+'CUOTA INDUSTRIAL'!M71</f>
        <v>0</v>
      </c>
      <c r="J82" s="3">
        <f>+'CUOTA INDUSTRIAL'!N71</f>
        <v>5.2080000000000002</v>
      </c>
      <c r="K82" s="3">
        <f>+'CUOTA INDUSTRIAL'!O71</f>
        <v>3.956</v>
      </c>
      <c r="L82" s="3">
        <f>+'CUOTA INDUSTRIAL'!P71</f>
        <v>1.2520000000000002</v>
      </c>
      <c r="M82" s="249">
        <f>+'CUOTA INDUSTRIAL'!Q71</f>
        <v>0.75960061443932403</v>
      </c>
      <c r="N82" s="25" t="s">
        <v>56</v>
      </c>
      <c r="O82" s="26">
        <f>RESUMEN!$B$3</f>
        <v>45481</v>
      </c>
      <c r="P82" s="23">
        <f t="shared" si="6"/>
        <v>2024</v>
      </c>
      <c r="Q82" s="1"/>
    </row>
    <row r="83" spans="1:17">
      <c r="A83" s="22" t="s">
        <v>45</v>
      </c>
      <c r="B83" s="23" t="s">
        <v>39</v>
      </c>
      <c r="C83" s="23" t="s">
        <v>19</v>
      </c>
      <c r="D83" s="23" t="s">
        <v>40</v>
      </c>
      <c r="E83" s="1" t="str">
        <f>+'CUOTA INDUSTRIAL'!C$73</f>
        <v>BLUMAR S.A.</v>
      </c>
      <c r="F83" s="4">
        <v>45292</v>
      </c>
      <c r="G83" s="4">
        <v>45565</v>
      </c>
      <c r="H83" s="24">
        <f>'CUOTA INDUSTRIAL'!F73</f>
        <v>97039.535000000003</v>
      </c>
      <c r="I83" s="24">
        <f>'CUOTA INDUSTRIAL'!G73</f>
        <v>-6489.1949999999997</v>
      </c>
      <c r="J83" s="24">
        <f>'CUOTA INDUSTRIAL'!H73</f>
        <v>90550.34</v>
      </c>
      <c r="K83" s="24">
        <f>'CUOTA INDUSTRIAL'!I73</f>
        <v>90917.937999999995</v>
      </c>
      <c r="L83" s="24">
        <f>'CUOTA INDUSTRIAL'!J73</f>
        <v>-367.59799999999814</v>
      </c>
      <c r="M83" s="251">
        <f>'CUOTA INDUSTRIAL'!K73</f>
        <v>1.0040595982301115</v>
      </c>
      <c r="N83" s="25" t="s">
        <v>56</v>
      </c>
      <c r="O83" s="26">
        <f>RESUMEN!$B$3</f>
        <v>45481</v>
      </c>
      <c r="P83" s="23">
        <f t="shared" si="6"/>
        <v>2024</v>
      </c>
      <c r="Q83" s="1"/>
    </row>
    <row r="84" spans="1:17">
      <c r="A84" s="22" t="s">
        <v>45</v>
      </c>
      <c r="B84" s="23" t="s">
        <v>39</v>
      </c>
      <c r="C84" s="23" t="s">
        <v>19</v>
      </c>
      <c r="D84" s="23" t="s">
        <v>40</v>
      </c>
      <c r="E84" s="1" t="str">
        <f>+'CUOTA INDUSTRIAL'!C$73</f>
        <v>BLUMAR S.A.</v>
      </c>
      <c r="F84" s="4">
        <v>45566</v>
      </c>
      <c r="G84" s="4">
        <v>45657</v>
      </c>
      <c r="H84" s="24">
        <f>'CUOTA INDUSTRIAL'!F74</f>
        <v>10782.24</v>
      </c>
      <c r="I84" s="24">
        <f>'CUOTA INDUSTRIAL'!G74</f>
        <v>0</v>
      </c>
      <c r="J84" s="24">
        <f>'CUOTA INDUSTRIAL'!H74</f>
        <v>10414.642000000002</v>
      </c>
      <c r="K84" s="24">
        <f>'CUOTA INDUSTRIAL'!I74</f>
        <v>0</v>
      </c>
      <c r="L84" s="24">
        <f>'CUOTA INDUSTRIAL'!J74</f>
        <v>10414.642000000002</v>
      </c>
      <c r="M84" s="251">
        <f>'CUOTA INDUSTRIAL'!K74</f>
        <v>0</v>
      </c>
      <c r="N84" s="25" t="s">
        <v>56</v>
      </c>
      <c r="O84" s="26">
        <f>RESUMEN!$B$3</f>
        <v>45481</v>
      </c>
      <c r="P84" s="23">
        <f t="shared" si="6"/>
        <v>2024</v>
      </c>
      <c r="Q84" s="1"/>
    </row>
    <row r="85" spans="1:17">
      <c r="A85" s="22" t="s">
        <v>45</v>
      </c>
      <c r="B85" s="23" t="s">
        <v>39</v>
      </c>
      <c r="C85" s="23" t="s">
        <v>19</v>
      </c>
      <c r="D85" s="23" t="s">
        <v>40</v>
      </c>
      <c r="E85" s="1" t="str">
        <f>+'CUOTA INDUSTRIAL'!C$73</f>
        <v>BLUMAR S.A.</v>
      </c>
      <c r="F85" s="4">
        <v>45292</v>
      </c>
      <c r="G85" s="4">
        <v>45657</v>
      </c>
      <c r="H85" s="24">
        <f>+'CUOTA INDUSTRIAL'!$L$73</f>
        <v>107821.77500000001</v>
      </c>
      <c r="I85" s="3">
        <f>'CUOTA INDUSTRIAL'!M73</f>
        <v>-6489.1949999999997</v>
      </c>
      <c r="J85" s="3">
        <f>'CUOTA INDUSTRIAL'!N73</f>
        <v>101332.58000000002</v>
      </c>
      <c r="K85" s="3">
        <f>'CUOTA INDUSTRIAL'!O73</f>
        <v>90917.937999999995</v>
      </c>
      <c r="L85" s="3">
        <f>'CUOTA INDUSTRIAL'!P73</f>
        <v>10414.642000000022</v>
      </c>
      <c r="M85" s="249">
        <f>'CUOTA INDUSTRIAL'!Q73</f>
        <v>0.89722316356693943</v>
      </c>
      <c r="N85" s="25" t="s">
        <v>56</v>
      </c>
      <c r="O85" s="26">
        <f>RESUMEN!$B$3</f>
        <v>45481</v>
      </c>
      <c r="P85" s="23">
        <f t="shared" si="6"/>
        <v>2024</v>
      </c>
      <c r="Q85" s="1"/>
    </row>
    <row r="86" spans="1:17">
      <c r="A86" s="22" t="s">
        <v>45</v>
      </c>
      <c r="B86" s="23" t="s">
        <v>39</v>
      </c>
      <c r="C86" s="23" t="s">
        <v>19</v>
      </c>
      <c r="D86" s="23" t="s">
        <v>40</v>
      </c>
      <c r="E86" s="1" t="str">
        <f>+'CUOTA INDUSTRIAL'!C$75</f>
        <v>CAMANCHACA PESCA SUR S.A.</v>
      </c>
      <c r="F86" s="4">
        <v>45292</v>
      </c>
      <c r="G86" s="4">
        <v>45565</v>
      </c>
      <c r="H86" s="24">
        <f>'CUOTA INDUSTRIAL'!F75</f>
        <v>80000.498000000007</v>
      </c>
      <c r="I86" s="24">
        <f>'CUOTA INDUSTRIAL'!G75</f>
        <v>15115.293999999998</v>
      </c>
      <c r="J86" s="24">
        <f>'CUOTA INDUSTRIAL'!H75</f>
        <v>95115.792000000001</v>
      </c>
      <c r="K86" s="24">
        <f>'CUOTA INDUSTRIAL'!I75</f>
        <v>89837.789000000004</v>
      </c>
      <c r="L86" s="24">
        <f>'CUOTA INDUSTRIAL'!J75</f>
        <v>5278.002999999997</v>
      </c>
      <c r="M86" s="251">
        <f>'CUOTA INDUSTRIAL'!K75</f>
        <v>0.94450970875582896</v>
      </c>
      <c r="N86" s="25" t="s">
        <v>56</v>
      </c>
      <c r="O86" s="26">
        <f>RESUMEN!$B$3</f>
        <v>45481</v>
      </c>
      <c r="P86" s="23">
        <f t="shared" si="6"/>
        <v>2024</v>
      </c>
      <c r="Q86" s="1"/>
    </row>
    <row r="87" spans="1:17">
      <c r="A87" s="22" t="s">
        <v>45</v>
      </c>
      <c r="B87" s="23" t="s">
        <v>39</v>
      </c>
      <c r="C87" s="23" t="s">
        <v>19</v>
      </c>
      <c r="D87" s="23" t="s">
        <v>40</v>
      </c>
      <c r="E87" s="1" t="str">
        <f>+'CUOTA INDUSTRIAL'!C$75</f>
        <v>CAMANCHACA PESCA SUR S.A.</v>
      </c>
      <c r="F87" s="4">
        <v>45566</v>
      </c>
      <c r="G87" s="4">
        <v>45657</v>
      </c>
      <c r="H87" s="24">
        <f>'CUOTA INDUSTRIAL'!F76</f>
        <v>8889.0010000000002</v>
      </c>
      <c r="I87" s="24">
        <f>'CUOTA INDUSTRIAL'!G76</f>
        <v>0</v>
      </c>
      <c r="J87" s="24">
        <f>'CUOTA INDUSTRIAL'!H76</f>
        <v>14167.003999999997</v>
      </c>
      <c r="K87" s="24">
        <f>'CUOTA INDUSTRIAL'!I76</f>
        <v>0</v>
      </c>
      <c r="L87" s="24">
        <f>'CUOTA INDUSTRIAL'!J76</f>
        <v>14167.003999999997</v>
      </c>
      <c r="M87" s="251">
        <f>'CUOTA INDUSTRIAL'!K76</f>
        <v>0</v>
      </c>
      <c r="N87" s="25" t="s">
        <v>56</v>
      </c>
      <c r="O87" s="26">
        <f>RESUMEN!$B$3</f>
        <v>45481</v>
      </c>
      <c r="P87" s="23">
        <f t="shared" si="6"/>
        <v>2024</v>
      </c>
      <c r="Q87" s="1"/>
    </row>
    <row r="88" spans="1:17">
      <c r="A88" s="22" t="s">
        <v>45</v>
      </c>
      <c r="B88" s="23" t="s">
        <v>39</v>
      </c>
      <c r="C88" s="23" t="s">
        <v>19</v>
      </c>
      <c r="D88" s="23" t="s">
        <v>40</v>
      </c>
      <c r="E88" s="1" t="str">
        <f>+'CUOTA INDUSTRIAL'!C$75</f>
        <v>CAMANCHACA PESCA SUR S.A.</v>
      </c>
      <c r="F88" s="4">
        <v>45292</v>
      </c>
      <c r="G88" s="4">
        <v>45657</v>
      </c>
      <c r="H88" s="24">
        <f>+'CUOTA INDUSTRIAL'!$L$75</f>
        <v>88889.499000000011</v>
      </c>
      <c r="I88" s="3">
        <f>+'CUOTA INDUSTRIAL'!M75</f>
        <v>15115.293999999998</v>
      </c>
      <c r="J88" s="3">
        <f>+'CUOTA INDUSTRIAL'!N75</f>
        <v>104004.79300000001</v>
      </c>
      <c r="K88" s="3">
        <f>+'CUOTA INDUSTRIAL'!O75</f>
        <v>89837.789000000004</v>
      </c>
      <c r="L88" s="3">
        <f>+'CUOTA INDUSTRIAL'!P75</f>
        <v>14167.004000000001</v>
      </c>
      <c r="M88" s="249">
        <f>+'CUOTA INDUSTRIAL'!Q75</f>
        <v>0.86378508536621001</v>
      </c>
      <c r="N88" s="25" t="s">
        <v>56</v>
      </c>
      <c r="O88" s="26">
        <f>RESUMEN!$B$3</f>
        <v>45481</v>
      </c>
      <c r="P88" s="23">
        <f t="shared" si="6"/>
        <v>2024</v>
      </c>
      <c r="Q88" s="1"/>
    </row>
    <row r="89" spans="1:17">
      <c r="A89" s="22" t="s">
        <v>45</v>
      </c>
      <c r="B89" s="23" t="s">
        <v>39</v>
      </c>
      <c r="C89" s="23" t="s">
        <v>19</v>
      </c>
      <c r="D89" s="23" t="s">
        <v>40</v>
      </c>
      <c r="E89" s="1" t="str">
        <f>+'CUOTA INDUSTRIAL'!C$77</f>
        <v>CAMANCHACA S.A.</v>
      </c>
      <c r="F89" s="4">
        <v>45292</v>
      </c>
      <c r="G89" s="4">
        <v>45565</v>
      </c>
      <c r="H89" s="24">
        <f>'CUOTA INDUSTRIAL'!F77</f>
        <v>1035.825</v>
      </c>
      <c r="I89" s="24">
        <f>'CUOTA INDUSTRIAL'!G77</f>
        <v>81.605999999999995</v>
      </c>
      <c r="J89" s="24">
        <f>'CUOTA INDUSTRIAL'!H77</f>
        <v>1117.431</v>
      </c>
      <c r="K89" s="24">
        <f>'CUOTA INDUSTRIAL'!I77</f>
        <v>0</v>
      </c>
      <c r="L89" s="24">
        <f>'CUOTA INDUSTRIAL'!J77</f>
        <v>1117.431</v>
      </c>
      <c r="M89" s="251">
        <f>'CUOTA INDUSTRIAL'!K77</f>
        <v>0</v>
      </c>
      <c r="N89" s="25" t="s">
        <v>56</v>
      </c>
      <c r="O89" s="26">
        <f>RESUMEN!$B$3</f>
        <v>45481</v>
      </c>
      <c r="P89" s="23">
        <f t="shared" si="6"/>
        <v>2024</v>
      </c>
      <c r="Q89" s="1"/>
    </row>
    <row r="90" spans="1:17">
      <c r="A90" s="22" t="s">
        <v>45</v>
      </c>
      <c r="B90" s="23" t="s">
        <v>39</v>
      </c>
      <c r="C90" s="23" t="s">
        <v>19</v>
      </c>
      <c r="D90" s="23" t="s">
        <v>40</v>
      </c>
      <c r="E90" s="1" t="str">
        <f>+'CUOTA INDUSTRIAL'!C$77</f>
        <v>CAMANCHACA S.A.</v>
      </c>
      <c r="F90" s="4">
        <v>45566</v>
      </c>
      <c r="G90" s="4">
        <v>45657</v>
      </c>
      <c r="H90" s="24">
        <f>'CUOTA INDUSTRIAL'!F78</f>
        <v>115.092</v>
      </c>
      <c r="I90" s="24">
        <f>'CUOTA INDUSTRIAL'!G78</f>
        <v>0</v>
      </c>
      <c r="J90" s="24">
        <f>'CUOTA INDUSTRIAL'!H78</f>
        <v>1232.5230000000001</v>
      </c>
      <c r="K90" s="24">
        <f>'CUOTA INDUSTRIAL'!I78</f>
        <v>0</v>
      </c>
      <c r="L90" s="24">
        <f>'CUOTA INDUSTRIAL'!J78</f>
        <v>1232.5230000000001</v>
      </c>
      <c r="M90" s="251">
        <f>'CUOTA INDUSTRIAL'!K78</f>
        <v>0</v>
      </c>
      <c r="N90" s="25" t="s">
        <v>56</v>
      </c>
      <c r="O90" s="26">
        <f>RESUMEN!$B$3</f>
        <v>45481</v>
      </c>
      <c r="P90" s="23">
        <f t="shared" si="6"/>
        <v>2024</v>
      </c>
      <c r="Q90" s="1"/>
    </row>
    <row r="91" spans="1:17">
      <c r="A91" s="22" t="s">
        <v>45</v>
      </c>
      <c r="B91" s="23" t="s">
        <v>39</v>
      </c>
      <c r="C91" s="23" t="s">
        <v>19</v>
      </c>
      <c r="D91" s="23" t="s">
        <v>40</v>
      </c>
      <c r="E91" s="1" t="str">
        <f>+'CUOTA INDUSTRIAL'!C$77</f>
        <v>CAMANCHACA S.A.</v>
      </c>
      <c r="F91" s="4">
        <v>45292</v>
      </c>
      <c r="G91" s="4">
        <v>45657</v>
      </c>
      <c r="H91" s="24">
        <f>+'CUOTA INDUSTRIAL'!$L$77</f>
        <v>1150.9170000000001</v>
      </c>
      <c r="I91" s="3">
        <f>+'CUOTA INDUSTRIAL'!M77</f>
        <v>81.605999999999995</v>
      </c>
      <c r="J91" s="3">
        <f>+'CUOTA INDUSTRIAL'!N77</f>
        <v>1232.5230000000001</v>
      </c>
      <c r="K91" s="3">
        <f>+'CUOTA INDUSTRIAL'!O77</f>
        <v>0</v>
      </c>
      <c r="L91" s="3">
        <f>+'CUOTA INDUSTRIAL'!P77</f>
        <v>1232.5230000000001</v>
      </c>
      <c r="M91" s="249">
        <f>+'CUOTA INDUSTRIAL'!Q77</f>
        <v>0</v>
      </c>
      <c r="N91" s="25" t="s">
        <v>56</v>
      </c>
      <c r="O91" s="26">
        <f>RESUMEN!$B$3</f>
        <v>45481</v>
      </c>
      <c r="P91" s="23">
        <f t="shared" si="6"/>
        <v>2024</v>
      </c>
      <c r="Q91" s="1"/>
    </row>
    <row r="92" spans="1:17">
      <c r="A92" s="22" t="s">
        <v>45</v>
      </c>
      <c r="B92" s="23" t="s">
        <v>39</v>
      </c>
      <c r="C92" s="23" t="s">
        <v>19</v>
      </c>
      <c r="D92" s="23" t="s">
        <v>40</v>
      </c>
      <c r="E92" s="1" t="str">
        <f>+'CUOTA INDUSTRIAL'!C$79</f>
        <v>FOODCORP CHILE S.A.</v>
      </c>
      <c r="F92" s="4">
        <v>45292</v>
      </c>
      <c r="G92" s="4">
        <v>45565</v>
      </c>
      <c r="H92" s="24">
        <f>'CUOTA INDUSTRIAL'!F79</f>
        <v>50184.305999999997</v>
      </c>
      <c r="I92" s="24">
        <f>'CUOTA INDUSTRIAL'!G79</f>
        <v>3223.598</v>
      </c>
      <c r="J92" s="24">
        <f>'CUOTA INDUSTRIAL'!H79</f>
        <v>53407.903999999995</v>
      </c>
      <c r="K92" s="24">
        <f>'CUOTA INDUSTRIAL'!I79</f>
        <v>57424.171000000002</v>
      </c>
      <c r="L92" s="24">
        <f>'CUOTA INDUSTRIAL'!J79</f>
        <v>-4016.2670000000071</v>
      </c>
      <c r="M92" s="251">
        <f>'CUOTA INDUSTRIAL'!K79</f>
        <v>1.0751998618032268</v>
      </c>
      <c r="N92" s="25" t="s">
        <v>56</v>
      </c>
      <c r="O92" s="26">
        <f>RESUMEN!$B$3</f>
        <v>45481</v>
      </c>
      <c r="P92" s="23">
        <f t="shared" si="6"/>
        <v>2024</v>
      </c>
      <c r="Q92" s="1"/>
    </row>
    <row r="93" spans="1:17">
      <c r="A93" s="22" t="s">
        <v>45</v>
      </c>
      <c r="B93" s="23" t="s">
        <v>39</v>
      </c>
      <c r="C93" s="23" t="s">
        <v>19</v>
      </c>
      <c r="D93" s="23" t="s">
        <v>40</v>
      </c>
      <c r="E93" s="1" t="str">
        <f>+'CUOTA INDUSTRIAL'!C$79</f>
        <v>FOODCORP CHILE S.A.</v>
      </c>
      <c r="F93" s="4">
        <v>45566</v>
      </c>
      <c r="G93" s="4">
        <v>45657</v>
      </c>
      <c r="H93" s="24">
        <f>'CUOTA INDUSTRIAL'!F80</f>
        <v>5576.07</v>
      </c>
      <c r="I93" s="24">
        <f>'CUOTA INDUSTRIAL'!G80</f>
        <v>0</v>
      </c>
      <c r="J93" s="24">
        <f>'CUOTA INDUSTRIAL'!H80</f>
        <v>1559.8029999999926</v>
      </c>
      <c r="K93" s="24">
        <f>'CUOTA INDUSTRIAL'!I80</f>
        <v>0</v>
      </c>
      <c r="L93" s="24">
        <f>'CUOTA INDUSTRIAL'!J80</f>
        <v>1559.8029999999926</v>
      </c>
      <c r="M93" s="251">
        <f>'CUOTA INDUSTRIAL'!K80</f>
        <v>0</v>
      </c>
      <c r="N93" s="25" t="s">
        <v>56</v>
      </c>
      <c r="O93" s="26">
        <f>RESUMEN!$B$3</f>
        <v>45481</v>
      </c>
      <c r="P93" s="23">
        <f t="shared" si="6"/>
        <v>2024</v>
      </c>
      <c r="Q93" s="1"/>
    </row>
    <row r="94" spans="1:17">
      <c r="A94" s="22" t="s">
        <v>45</v>
      </c>
      <c r="B94" s="23" t="s">
        <v>39</v>
      </c>
      <c r="C94" s="23" t="s">
        <v>19</v>
      </c>
      <c r="D94" s="23" t="s">
        <v>40</v>
      </c>
      <c r="E94" s="1" t="str">
        <f>+'CUOTA INDUSTRIAL'!C$79</f>
        <v>FOODCORP CHILE S.A.</v>
      </c>
      <c r="F94" s="4">
        <v>45292</v>
      </c>
      <c r="G94" s="4">
        <v>45657</v>
      </c>
      <c r="H94" s="24">
        <f>+'CUOTA INDUSTRIAL'!$L$79</f>
        <v>55760.375999999997</v>
      </c>
      <c r="I94" s="3">
        <f>+'CUOTA INDUSTRIAL'!M79</f>
        <v>3223.598</v>
      </c>
      <c r="J94" s="3">
        <f>+'CUOTA INDUSTRIAL'!N79</f>
        <v>58983.973999999995</v>
      </c>
      <c r="K94" s="3">
        <f>+'CUOTA INDUSTRIAL'!O79</f>
        <v>57424.171000000002</v>
      </c>
      <c r="L94" s="3">
        <f>+'CUOTA INDUSTRIAL'!P79</f>
        <v>1559.8029999999926</v>
      </c>
      <c r="M94" s="249">
        <f>+'CUOTA INDUSTRIAL'!Q79</f>
        <v>0.97355547796762565</v>
      </c>
      <c r="N94" s="25" t="s">
        <v>56</v>
      </c>
      <c r="O94" s="26">
        <f>RESUMEN!$B$3</f>
        <v>45481</v>
      </c>
      <c r="P94" s="23">
        <f t="shared" si="6"/>
        <v>2024</v>
      </c>
      <c r="Q94" s="1"/>
    </row>
    <row r="95" spans="1:17">
      <c r="A95" s="22" t="s">
        <v>45</v>
      </c>
      <c r="B95" s="23" t="s">
        <v>39</v>
      </c>
      <c r="C95" s="23" t="s">
        <v>19</v>
      </c>
      <c r="D95" s="23" t="s">
        <v>40</v>
      </c>
      <c r="E95" s="1" t="str">
        <f>+'CUOTA INDUSTRIAL'!C$81</f>
        <v>GENMAR LTDA SOC PESQ</v>
      </c>
      <c r="F95" s="4">
        <v>45292</v>
      </c>
      <c r="G95" s="4">
        <v>45565</v>
      </c>
      <c r="H95" s="24">
        <f>'CUOTA INDUSTRIAL'!F81</f>
        <v>46.87</v>
      </c>
      <c r="I95" s="24">
        <f>'CUOTA INDUSTRIAL'!G81</f>
        <v>0</v>
      </c>
      <c r="J95" s="24">
        <f>'CUOTA INDUSTRIAL'!H81</f>
        <v>46.87</v>
      </c>
      <c r="K95" s="24">
        <f>'CUOTA INDUSTRIAL'!I81</f>
        <v>0</v>
      </c>
      <c r="L95" s="24">
        <f>'CUOTA INDUSTRIAL'!J81</f>
        <v>46.87</v>
      </c>
      <c r="M95" s="251">
        <f>'CUOTA INDUSTRIAL'!K81</f>
        <v>0</v>
      </c>
      <c r="N95" s="25" t="s">
        <v>56</v>
      </c>
      <c r="O95" s="26">
        <f>RESUMEN!$B$3</f>
        <v>45481</v>
      </c>
      <c r="P95" s="23">
        <f t="shared" si="6"/>
        <v>2024</v>
      </c>
      <c r="Q95" s="1"/>
    </row>
    <row r="96" spans="1:17">
      <c r="A96" s="22" t="s">
        <v>45</v>
      </c>
      <c r="B96" s="23" t="s">
        <v>39</v>
      </c>
      <c r="C96" s="23" t="s">
        <v>19</v>
      </c>
      <c r="D96" s="23" t="s">
        <v>40</v>
      </c>
      <c r="E96" s="1" t="str">
        <f>+'CUOTA INDUSTRIAL'!C$81</f>
        <v>GENMAR LTDA SOC PESQ</v>
      </c>
      <c r="F96" s="4">
        <v>45566</v>
      </c>
      <c r="G96" s="4">
        <v>45657</v>
      </c>
      <c r="H96" s="24">
        <f>'CUOTA INDUSTRIAL'!F82</f>
        <v>5.2080000000000002</v>
      </c>
      <c r="I96" s="24">
        <f>'CUOTA INDUSTRIAL'!G82</f>
        <v>0</v>
      </c>
      <c r="J96" s="24">
        <f>'CUOTA INDUSTRIAL'!H82</f>
        <v>52.077999999999996</v>
      </c>
      <c r="K96" s="24">
        <f>'CUOTA INDUSTRIAL'!I82</f>
        <v>0</v>
      </c>
      <c r="L96" s="24">
        <f>'CUOTA INDUSTRIAL'!J82</f>
        <v>52.077999999999996</v>
      </c>
      <c r="M96" s="251">
        <f>'CUOTA INDUSTRIAL'!K82</f>
        <v>0</v>
      </c>
      <c r="N96" s="25" t="s">
        <v>56</v>
      </c>
      <c r="O96" s="26">
        <f>RESUMEN!$B$3</f>
        <v>45481</v>
      </c>
      <c r="P96" s="23">
        <f t="shared" si="6"/>
        <v>2024</v>
      </c>
      <c r="Q96" s="1"/>
    </row>
    <row r="97" spans="1:17">
      <c r="A97" s="22" t="s">
        <v>45</v>
      </c>
      <c r="B97" s="23" t="s">
        <v>39</v>
      </c>
      <c r="C97" s="23" t="s">
        <v>19</v>
      </c>
      <c r="D97" s="23" t="s">
        <v>40</v>
      </c>
      <c r="E97" s="1" t="str">
        <f>+'CUOTA INDUSTRIAL'!C$81</f>
        <v>GENMAR LTDA SOC PESQ</v>
      </c>
      <c r="F97" s="4">
        <v>45292</v>
      </c>
      <c r="G97" s="4">
        <v>45657</v>
      </c>
      <c r="H97" s="24">
        <f>+'CUOTA INDUSTRIAL'!$L$81</f>
        <v>52.077999999999996</v>
      </c>
      <c r="I97" s="3">
        <f>+'CUOTA INDUSTRIAL'!M81</f>
        <v>0</v>
      </c>
      <c r="J97" s="3">
        <f>+'CUOTA INDUSTRIAL'!N81</f>
        <v>52.077999999999996</v>
      </c>
      <c r="K97" s="3">
        <f>+'CUOTA INDUSTRIAL'!O81</f>
        <v>0</v>
      </c>
      <c r="L97" s="3">
        <f>+'CUOTA INDUSTRIAL'!P81</f>
        <v>52.077999999999996</v>
      </c>
      <c r="M97" s="249">
        <f>+'CUOTA INDUSTRIAL'!Q81</f>
        <v>0</v>
      </c>
      <c r="N97" s="25" t="s">
        <v>56</v>
      </c>
      <c r="O97" s="26">
        <f>RESUMEN!$B$3</f>
        <v>45481</v>
      </c>
      <c r="P97" s="23">
        <f t="shared" si="6"/>
        <v>2024</v>
      </c>
      <c r="Q97" s="1"/>
    </row>
    <row r="98" spans="1:17">
      <c r="A98" s="22" t="s">
        <v>45</v>
      </c>
      <c r="B98" s="23" t="s">
        <v>39</v>
      </c>
      <c r="C98" s="23" t="s">
        <v>19</v>
      </c>
      <c r="D98" s="23" t="s">
        <v>40</v>
      </c>
      <c r="E98" s="1" t="str">
        <f>+'CUOTA INDUSTRIAL'!C$83</f>
        <v>ISLA QUIHUA S.A. PESQ.</v>
      </c>
      <c r="F98" s="4">
        <v>45292</v>
      </c>
      <c r="G98" s="4">
        <v>45565</v>
      </c>
      <c r="H98" s="24">
        <f>'CUOTA INDUSTRIAL'!F83</f>
        <v>3.984</v>
      </c>
      <c r="I98" s="24">
        <f>'CUOTA INDUSTRIAL'!G83</f>
        <v>0</v>
      </c>
      <c r="J98" s="24">
        <f>'CUOTA INDUSTRIAL'!H83</f>
        <v>3.984</v>
      </c>
      <c r="K98" s="24">
        <f>'CUOTA INDUSTRIAL'!I83</f>
        <v>0</v>
      </c>
      <c r="L98" s="24">
        <f>'CUOTA INDUSTRIAL'!J83</f>
        <v>3.984</v>
      </c>
      <c r="M98" s="251">
        <f>'CUOTA INDUSTRIAL'!K83</f>
        <v>0</v>
      </c>
      <c r="N98" s="25" t="s">
        <v>56</v>
      </c>
      <c r="O98" s="26">
        <f>RESUMEN!$B$3</f>
        <v>45481</v>
      </c>
      <c r="P98" s="23">
        <f t="shared" si="6"/>
        <v>2024</v>
      </c>
      <c r="Q98" s="1"/>
    </row>
    <row r="99" spans="1:17">
      <c r="A99" s="22" t="s">
        <v>45</v>
      </c>
      <c r="B99" s="23" t="s">
        <v>39</v>
      </c>
      <c r="C99" s="23" t="s">
        <v>19</v>
      </c>
      <c r="D99" s="23" t="s">
        <v>40</v>
      </c>
      <c r="E99" s="1" t="str">
        <f>+'CUOTA INDUSTRIAL'!C$83</f>
        <v>ISLA QUIHUA S.A. PESQ.</v>
      </c>
      <c r="F99" s="4">
        <v>45566</v>
      </c>
      <c r="G99" s="4">
        <v>45657</v>
      </c>
      <c r="H99" s="24">
        <f>'CUOTA INDUSTRIAL'!F84</f>
        <v>0.443</v>
      </c>
      <c r="I99" s="24">
        <f>'CUOTA INDUSTRIAL'!G84</f>
        <v>0</v>
      </c>
      <c r="J99" s="24">
        <f>'CUOTA INDUSTRIAL'!H84</f>
        <v>4.4269999999999996</v>
      </c>
      <c r="K99" s="24">
        <f>'CUOTA INDUSTRIAL'!I84</f>
        <v>0</v>
      </c>
      <c r="L99" s="24">
        <f>'CUOTA INDUSTRIAL'!J84</f>
        <v>4.4269999999999996</v>
      </c>
      <c r="M99" s="251">
        <f>'CUOTA INDUSTRIAL'!K84</f>
        <v>0</v>
      </c>
      <c r="N99" s="25" t="s">
        <v>56</v>
      </c>
      <c r="O99" s="26">
        <f>RESUMEN!$B$3</f>
        <v>45481</v>
      </c>
      <c r="P99" s="23">
        <f t="shared" si="6"/>
        <v>2024</v>
      </c>
      <c r="Q99" s="1"/>
    </row>
    <row r="100" spans="1:17">
      <c r="A100" s="22" t="s">
        <v>45</v>
      </c>
      <c r="B100" s="23" t="s">
        <v>39</v>
      </c>
      <c r="C100" s="23" t="s">
        <v>19</v>
      </c>
      <c r="D100" s="23" t="s">
        <v>40</v>
      </c>
      <c r="E100" s="1" t="str">
        <f>+'CUOTA INDUSTRIAL'!C$83</f>
        <v>ISLA QUIHUA S.A. PESQ.</v>
      </c>
      <c r="F100" s="4">
        <v>45292</v>
      </c>
      <c r="G100" s="4">
        <v>45657</v>
      </c>
      <c r="H100" s="24">
        <f>+'CUOTA INDUSTRIAL'!$L$83</f>
        <v>4.4269999999999996</v>
      </c>
      <c r="I100" s="3">
        <f>+'CUOTA INDUSTRIAL'!M83</f>
        <v>0</v>
      </c>
      <c r="J100" s="3">
        <f>+'CUOTA INDUSTRIAL'!N83</f>
        <v>4.4269999999999996</v>
      </c>
      <c r="K100" s="3">
        <f>+'CUOTA INDUSTRIAL'!O83</f>
        <v>0</v>
      </c>
      <c r="L100" s="3">
        <f>+'CUOTA INDUSTRIAL'!P83</f>
        <v>4.4269999999999996</v>
      </c>
      <c r="M100" s="249">
        <f>+'CUOTA INDUSTRIAL'!Q83</f>
        <v>0</v>
      </c>
      <c r="N100" s="25" t="s">
        <v>56</v>
      </c>
      <c r="O100" s="26">
        <f>RESUMEN!$B$3</f>
        <v>45481</v>
      </c>
      <c r="P100" s="23">
        <f t="shared" si="6"/>
        <v>2024</v>
      </c>
      <c r="Q100" s="1"/>
    </row>
    <row r="101" spans="1:17">
      <c r="A101" s="22" t="s">
        <v>45</v>
      </c>
      <c r="B101" s="23" t="s">
        <v>39</v>
      </c>
      <c r="C101" s="23" t="s">
        <v>19</v>
      </c>
      <c r="D101" s="23" t="s">
        <v>40</v>
      </c>
      <c r="E101" s="1" t="str">
        <f>+'CUOTA INDUSTRIAL'!C$85</f>
        <v>LANDES S.A. SOC. PESQ.</v>
      </c>
      <c r="F101" s="4">
        <v>45292</v>
      </c>
      <c r="G101" s="4">
        <v>45565</v>
      </c>
      <c r="H101" s="24">
        <f>'CUOTA INDUSTRIAL'!F85</f>
        <v>36921.858999999997</v>
      </c>
      <c r="I101" s="24">
        <f>'CUOTA INDUSTRIAL'!G85</f>
        <v>11473.766</v>
      </c>
      <c r="J101" s="24">
        <f>'CUOTA INDUSTRIAL'!H85</f>
        <v>48395.625</v>
      </c>
      <c r="K101" s="24">
        <f>'CUOTA INDUSTRIAL'!I85</f>
        <v>48391.642</v>
      </c>
      <c r="L101" s="24">
        <f>'CUOTA INDUSTRIAL'!J85</f>
        <v>3.9830000000001746</v>
      </c>
      <c r="M101" s="251">
        <f>'CUOTA INDUSTRIAL'!K85</f>
        <v>0.99991769917218754</v>
      </c>
      <c r="N101" s="25" t="s">
        <v>56</v>
      </c>
      <c r="O101" s="26">
        <f>RESUMEN!$B$3</f>
        <v>45481</v>
      </c>
      <c r="P101" s="23">
        <f t="shared" si="6"/>
        <v>2024</v>
      </c>
      <c r="Q101" s="1"/>
    </row>
    <row r="102" spans="1:17">
      <c r="A102" s="22" t="s">
        <v>45</v>
      </c>
      <c r="B102" s="23" t="s">
        <v>39</v>
      </c>
      <c r="C102" s="23" t="s">
        <v>19</v>
      </c>
      <c r="D102" s="23" t="s">
        <v>40</v>
      </c>
      <c r="E102" s="1" t="str">
        <f>+'CUOTA INDUSTRIAL'!C$85</f>
        <v>LANDES S.A. SOC. PESQ.</v>
      </c>
      <c r="F102" s="4">
        <v>45566</v>
      </c>
      <c r="G102" s="4">
        <v>45657</v>
      </c>
      <c r="H102" s="24">
        <f>'CUOTA INDUSTRIAL'!F86</f>
        <v>4102.4549999999999</v>
      </c>
      <c r="I102" s="24">
        <f>'CUOTA INDUSTRIAL'!G86</f>
        <v>0</v>
      </c>
      <c r="J102" s="24">
        <f>'CUOTA INDUSTRIAL'!H86</f>
        <v>4106.4380000000001</v>
      </c>
      <c r="K102" s="24">
        <f>'CUOTA INDUSTRIAL'!I86</f>
        <v>0</v>
      </c>
      <c r="L102" s="24">
        <f>'CUOTA INDUSTRIAL'!J86</f>
        <v>4106.4380000000001</v>
      </c>
      <c r="M102" s="251">
        <f>'CUOTA INDUSTRIAL'!K86</f>
        <v>0</v>
      </c>
      <c r="N102" s="25" t="s">
        <v>56</v>
      </c>
      <c r="O102" s="26">
        <f>RESUMEN!$B$3</f>
        <v>45481</v>
      </c>
      <c r="P102" s="23">
        <f t="shared" si="6"/>
        <v>2024</v>
      </c>
      <c r="Q102" s="1"/>
    </row>
    <row r="103" spans="1:17">
      <c r="A103" s="22" t="s">
        <v>45</v>
      </c>
      <c r="B103" s="23" t="s">
        <v>39</v>
      </c>
      <c r="C103" s="23" t="s">
        <v>19</v>
      </c>
      <c r="D103" s="23" t="s">
        <v>40</v>
      </c>
      <c r="E103" s="1" t="str">
        <f>+'CUOTA INDUSTRIAL'!C$85</f>
        <v>LANDES S.A. SOC. PESQ.</v>
      </c>
      <c r="F103" s="4">
        <v>45292</v>
      </c>
      <c r="G103" s="4">
        <v>45657</v>
      </c>
      <c r="H103" s="24">
        <f>+'CUOTA INDUSTRIAL'!$L$85</f>
        <v>41024.313999999998</v>
      </c>
      <c r="I103" s="3">
        <f>+'CUOTA INDUSTRIAL'!M85</f>
        <v>11473.766</v>
      </c>
      <c r="J103" s="3">
        <f>+'CUOTA INDUSTRIAL'!N85</f>
        <v>52498.080000000002</v>
      </c>
      <c r="K103" s="3">
        <f>+'CUOTA INDUSTRIAL'!O85</f>
        <v>48391.642</v>
      </c>
      <c r="L103" s="3">
        <f>+'CUOTA INDUSTRIAL'!P85</f>
        <v>4106.4380000000019</v>
      </c>
      <c r="M103" s="249">
        <f>+'CUOTA INDUSTRIAL'!Q85</f>
        <v>0.9217792726895917</v>
      </c>
      <c r="N103" s="25" t="s">
        <v>56</v>
      </c>
      <c r="O103" s="26">
        <f>RESUMEN!$B$3</f>
        <v>45481</v>
      </c>
      <c r="P103" s="23">
        <f t="shared" si="6"/>
        <v>2024</v>
      </c>
      <c r="Q103" s="1"/>
    </row>
    <row r="104" spans="1:17">
      <c r="A104" s="22" t="s">
        <v>45</v>
      </c>
      <c r="B104" s="23" t="s">
        <v>39</v>
      </c>
      <c r="C104" s="23" t="s">
        <v>19</v>
      </c>
      <c r="D104" s="23" t="s">
        <v>40</v>
      </c>
      <c r="E104" s="1" t="str">
        <f>+'CUOTA INDUSTRIAL'!C$87</f>
        <v>LOTA PROTEIN S.A.</v>
      </c>
      <c r="F104" s="4">
        <v>45292</v>
      </c>
      <c r="G104" s="4">
        <v>45565</v>
      </c>
      <c r="H104" s="24">
        <f>'CUOTA INDUSTRIAL'!F87</f>
        <v>4.6870000000000003</v>
      </c>
      <c r="I104" s="24">
        <f>'CUOTA INDUSTRIAL'!G87</f>
        <v>0</v>
      </c>
      <c r="J104" s="24">
        <f>'CUOTA INDUSTRIAL'!H87</f>
        <v>4.6870000000000003</v>
      </c>
      <c r="K104" s="24">
        <f>'CUOTA INDUSTRIAL'!I87</f>
        <v>0</v>
      </c>
      <c r="L104" s="24">
        <f>'CUOTA INDUSTRIAL'!J87</f>
        <v>4.6870000000000003</v>
      </c>
      <c r="M104" s="251">
        <f>'CUOTA INDUSTRIAL'!K87</f>
        <v>0</v>
      </c>
      <c r="N104" s="25" t="s">
        <v>56</v>
      </c>
      <c r="O104" s="26">
        <f>RESUMEN!$B$3</f>
        <v>45481</v>
      </c>
      <c r="P104" s="23">
        <f t="shared" si="6"/>
        <v>2024</v>
      </c>
      <c r="Q104" s="1"/>
    </row>
    <row r="105" spans="1:17">
      <c r="A105" s="22" t="s">
        <v>45</v>
      </c>
      <c r="B105" s="23" t="s">
        <v>39</v>
      </c>
      <c r="C105" s="23" t="s">
        <v>19</v>
      </c>
      <c r="D105" s="23" t="s">
        <v>40</v>
      </c>
      <c r="E105" s="1" t="str">
        <f>+'CUOTA INDUSTRIAL'!C$87</f>
        <v>LOTA PROTEIN S.A.</v>
      </c>
      <c r="F105" s="4">
        <v>45566</v>
      </c>
      <c r="G105" s="4">
        <v>45657</v>
      </c>
      <c r="H105" s="24">
        <f>'CUOTA INDUSTRIAL'!F88</f>
        <v>0.52100000000000002</v>
      </c>
      <c r="I105" s="24">
        <f>'CUOTA INDUSTRIAL'!G88</f>
        <v>0</v>
      </c>
      <c r="J105" s="24">
        <f>'CUOTA INDUSTRIAL'!H88</f>
        <v>5.2080000000000002</v>
      </c>
      <c r="K105" s="24">
        <f>'CUOTA INDUSTRIAL'!I88</f>
        <v>0</v>
      </c>
      <c r="L105" s="24">
        <f>'CUOTA INDUSTRIAL'!J88</f>
        <v>5.2080000000000002</v>
      </c>
      <c r="M105" s="251">
        <f>'CUOTA INDUSTRIAL'!K88</f>
        <v>0</v>
      </c>
      <c r="N105" s="25" t="s">
        <v>56</v>
      </c>
      <c r="O105" s="26">
        <f>RESUMEN!$B$3</f>
        <v>45481</v>
      </c>
      <c r="P105" s="23">
        <f t="shared" si="6"/>
        <v>2024</v>
      </c>
      <c r="Q105" s="1"/>
    </row>
    <row r="106" spans="1:17">
      <c r="A106" s="22" t="s">
        <v>45</v>
      </c>
      <c r="B106" s="23" t="s">
        <v>39</v>
      </c>
      <c r="C106" s="23" t="s">
        <v>19</v>
      </c>
      <c r="D106" s="23" t="s">
        <v>40</v>
      </c>
      <c r="E106" s="1" t="str">
        <f>+'CUOTA INDUSTRIAL'!C$87</f>
        <v>LOTA PROTEIN S.A.</v>
      </c>
      <c r="F106" s="4">
        <v>45292</v>
      </c>
      <c r="G106" s="4">
        <v>45657</v>
      </c>
      <c r="H106" s="24">
        <f>+'CUOTA INDUSTRIAL'!$L$87</f>
        <v>5.2080000000000002</v>
      </c>
      <c r="I106" s="3">
        <f>+'CUOTA INDUSTRIAL'!M87</f>
        <v>0</v>
      </c>
      <c r="J106" s="3">
        <f>+'CUOTA INDUSTRIAL'!N87</f>
        <v>5.2080000000000002</v>
      </c>
      <c r="K106" s="3">
        <f>+'CUOTA INDUSTRIAL'!O87</f>
        <v>0</v>
      </c>
      <c r="L106" s="3">
        <f>+'CUOTA INDUSTRIAL'!P87</f>
        <v>5.2080000000000002</v>
      </c>
      <c r="M106" s="249">
        <f>+'CUOTA INDUSTRIAL'!Q87</f>
        <v>0</v>
      </c>
      <c r="N106" s="25" t="s">
        <v>56</v>
      </c>
      <c r="O106" s="26">
        <f>RESUMEN!$B$3</f>
        <v>45481</v>
      </c>
      <c r="P106" s="23">
        <f t="shared" si="6"/>
        <v>2024</v>
      </c>
      <c r="Q106" s="1"/>
    </row>
    <row r="107" spans="1:17">
      <c r="A107" s="22" t="s">
        <v>45</v>
      </c>
      <c r="B107" s="23" t="s">
        <v>39</v>
      </c>
      <c r="C107" s="23" t="s">
        <v>19</v>
      </c>
      <c r="D107" s="23" t="s">
        <v>40</v>
      </c>
      <c r="E107" s="1" t="str">
        <f>+'CUOTA INDUSTRIAL'!C$89</f>
        <v>MJF LIMITADA PESQ.</v>
      </c>
      <c r="F107" s="4">
        <v>45292</v>
      </c>
      <c r="G107" s="4">
        <v>45565</v>
      </c>
      <c r="H107" s="24">
        <f>'CUOTA INDUSTRIAL'!F89</f>
        <v>4.6870000000000003</v>
      </c>
      <c r="I107" s="24">
        <f>'CUOTA INDUSTRIAL'!G89</f>
        <v>0</v>
      </c>
      <c r="J107" s="24">
        <f>'CUOTA INDUSTRIAL'!H89</f>
        <v>4.6870000000000003</v>
      </c>
      <c r="K107" s="24">
        <f>'CUOTA INDUSTRIAL'!I89</f>
        <v>0</v>
      </c>
      <c r="L107" s="24">
        <f>'CUOTA INDUSTRIAL'!J89</f>
        <v>4.6870000000000003</v>
      </c>
      <c r="M107" s="251">
        <f>'CUOTA INDUSTRIAL'!K89</f>
        <v>0</v>
      </c>
      <c r="N107" s="25" t="s">
        <v>56</v>
      </c>
      <c r="O107" s="26">
        <f>RESUMEN!$B$3</f>
        <v>45481</v>
      </c>
      <c r="P107" s="23">
        <f t="shared" si="6"/>
        <v>2024</v>
      </c>
      <c r="Q107" s="1"/>
    </row>
    <row r="108" spans="1:17">
      <c r="A108" s="22" t="s">
        <v>45</v>
      </c>
      <c r="B108" s="23" t="s">
        <v>39</v>
      </c>
      <c r="C108" s="23" t="s">
        <v>19</v>
      </c>
      <c r="D108" s="23" t="s">
        <v>40</v>
      </c>
      <c r="E108" s="1" t="str">
        <f>+'CUOTA INDUSTRIAL'!C$89</f>
        <v>MJF LIMITADA PESQ.</v>
      </c>
      <c r="F108" s="4">
        <v>45566</v>
      </c>
      <c r="G108" s="4">
        <v>45657</v>
      </c>
      <c r="H108" s="24">
        <f>'CUOTA INDUSTRIAL'!F90</f>
        <v>0.52100000000000002</v>
      </c>
      <c r="I108" s="24">
        <f>'CUOTA INDUSTRIAL'!G90</f>
        <v>0</v>
      </c>
      <c r="J108" s="24">
        <f>'CUOTA INDUSTRIAL'!H90</f>
        <v>5.2080000000000002</v>
      </c>
      <c r="K108" s="24">
        <f>'CUOTA INDUSTRIAL'!I90</f>
        <v>0</v>
      </c>
      <c r="L108" s="24">
        <f>'CUOTA INDUSTRIAL'!J90</f>
        <v>5.2080000000000002</v>
      </c>
      <c r="M108" s="251">
        <f>'CUOTA INDUSTRIAL'!K90</f>
        <v>0</v>
      </c>
      <c r="N108" s="25" t="s">
        <v>56</v>
      </c>
      <c r="O108" s="26">
        <f>RESUMEN!$B$3</f>
        <v>45481</v>
      </c>
      <c r="P108" s="23">
        <f t="shared" si="6"/>
        <v>2024</v>
      </c>
      <c r="Q108" s="1"/>
    </row>
    <row r="109" spans="1:17">
      <c r="A109" s="22" t="s">
        <v>45</v>
      </c>
      <c r="B109" s="23" t="s">
        <v>39</v>
      </c>
      <c r="C109" s="23" t="s">
        <v>19</v>
      </c>
      <c r="D109" s="23" t="s">
        <v>40</v>
      </c>
      <c r="E109" s="1" t="str">
        <f>+'CUOTA INDUSTRIAL'!C$89</f>
        <v>MJF LIMITADA PESQ.</v>
      </c>
      <c r="F109" s="4">
        <v>45292</v>
      </c>
      <c r="G109" s="4">
        <v>45657</v>
      </c>
      <c r="H109" s="24">
        <f>+'CUOTA INDUSTRIAL'!$L$89</f>
        <v>5.2080000000000002</v>
      </c>
      <c r="I109" s="3">
        <f>+'CUOTA INDUSTRIAL'!M89</f>
        <v>0</v>
      </c>
      <c r="J109" s="3">
        <f>+'CUOTA INDUSTRIAL'!N89</f>
        <v>5.2080000000000002</v>
      </c>
      <c r="K109" s="3">
        <f>+'CUOTA INDUSTRIAL'!O89</f>
        <v>0</v>
      </c>
      <c r="L109" s="3">
        <f>+'CUOTA INDUSTRIAL'!P89</f>
        <v>5.2080000000000002</v>
      </c>
      <c r="M109" s="249">
        <f>+'CUOTA INDUSTRIAL'!Q89</f>
        <v>0</v>
      </c>
      <c r="N109" s="25" t="s">
        <v>56</v>
      </c>
      <c r="O109" s="26">
        <f>RESUMEN!$B$3</f>
        <v>45481</v>
      </c>
      <c r="P109" s="23">
        <f t="shared" si="6"/>
        <v>2024</v>
      </c>
      <c r="Q109" s="1"/>
    </row>
    <row r="110" spans="1:17">
      <c r="A110" s="22" t="s">
        <v>45</v>
      </c>
      <c r="B110" s="23" t="s">
        <v>39</v>
      </c>
      <c r="C110" s="23" t="s">
        <v>19</v>
      </c>
      <c r="D110" s="23" t="s">
        <v>40</v>
      </c>
      <c r="E110" s="1" t="str">
        <f>+'CUOTA INDUSTRIAL'!C$91</f>
        <v>NORDIOMAR SPA SOC. PESQ.</v>
      </c>
      <c r="F110" s="4">
        <v>45292</v>
      </c>
      <c r="G110" s="4">
        <v>45565</v>
      </c>
      <c r="H110" s="24">
        <f>'CUOTA INDUSTRIAL'!F91</f>
        <v>4.6870000000000003</v>
      </c>
      <c r="I110" s="24">
        <f>'CUOTA INDUSTRIAL'!G91</f>
        <v>-5.2080000000000002</v>
      </c>
      <c r="J110" s="24">
        <f>'CUOTA INDUSTRIAL'!H91</f>
        <v>-0.52099999999999991</v>
      </c>
      <c r="K110" s="24">
        <f>'CUOTA INDUSTRIAL'!I91</f>
        <v>0</v>
      </c>
      <c r="L110" s="24">
        <f>'CUOTA INDUSTRIAL'!J91</f>
        <v>-0.52099999999999991</v>
      </c>
      <c r="M110" s="251">
        <f>'CUOTA INDUSTRIAL'!K91</f>
        <v>0</v>
      </c>
      <c r="N110" s="25" t="s">
        <v>56</v>
      </c>
      <c r="O110" s="26">
        <f>RESUMEN!$B$3</f>
        <v>45481</v>
      </c>
      <c r="P110" s="23">
        <f t="shared" si="6"/>
        <v>2024</v>
      </c>
      <c r="Q110" s="1"/>
    </row>
    <row r="111" spans="1:17">
      <c r="A111" s="22" t="s">
        <v>45</v>
      </c>
      <c r="B111" s="23" t="s">
        <v>39</v>
      </c>
      <c r="C111" s="23" t="s">
        <v>19</v>
      </c>
      <c r="D111" s="23" t="s">
        <v>40</v>
      </c>
      <c r="E111" s="1" t="str">
        <f>+'CUOTA INDUSTRIAL'!C$91</f>
        <v>NORDIOMAR SPA SOC. PESQ.</v>
      </c>
      <c r="F111" s="4">
        <v>45566</v>
      </c>
      <c r="G111" s="4">
        <v>45657</v>
      </c>
      <c r="H111" s="24">
        <f>'CUOTA INDUSTRIAL'!F92</f>
        <v>0.52100000000000002</v>
      </c>
      <c r="I111" s="24">
        <f>'CUOTA INDUSTRIAL'!G92</f>
        <v>0</v>
      </c>
      <c r="J111" s="24">
        <f>'CUOTA INDUSTRIAL'!H92</f>
        <v>0</v>
      </c>
      <c r="K111" s="24">
        <f>'CUOTA INDUSTRIAL'!I92</f>
        <v>0</v>
      </c>
      <c r="L111" s="24">
        <f>'CUOTA INDUSTRIAL'!J92</f>
        <v>0</v>
      </c>
      <c r="M111" s="251" t="e">
        <f>'CUOTA INDUSTRIAL'!K92</f>
        <v>#DIV/0!</v>
      </c>
      <c r="N111" s="25" t="s">
        <v>56</v>
      </c>
      <c r="O111" s="26">
        <f>RESUMEN!$B$3</f>
        <v>45481</v>
      </c>
      <c r="P111" s="23">
        <f t="shared" si="6"/>
        <v>2024</v>
      </c>
      <c r="Q111" s="1"/>
    </row>
    <row r="112" spans="1:17">
      <c r="A112" s="22" t="s">
        <v>45</v>
      </c>
      <c r="B112" s="23" t="s">
        <v>39</v>
      </c>
      <c r="C112" s="23" t="s">
        <v>19</v>
      </c>
      <c r="D112" s="23" t="s">
        <v>40</v>
      </c>
      <c r="E112" s="1" t="str">
        <f>+'CUOTA INDUSTRIAL'!C$91</f>
        <v>NORDIOMAR SPA SOC. PESQ.</v>
      </c>
      <c r="F112" s="4">
        <v>45292</v>
      </c>
      <c r="G112" s="4">
        <v>45657</v>
      </c>
      <c r="H112" s="24">
        <f>+'CUOTA INDUSTRIAL'!$L$91</f>
        <v>5.2080000000000002</v>
      </c>
      <c r="I112" s="3">
        <f>+'CUOTA INDUSTRIAL'!M91</f>
        <v>-5.2080000000000002</v>
      </c>
      <c r="J112" s="3">
        <f>+'CUOTA INDUSTRIAL'!N91</f>
        <v>0</v>
      </c>
      <c r="K112" s="3">
        <f>+'CUOTA INDUSTRIAL'!O91</f>
        <v>0</v>
      </c>
      <c r="L112" s="3">
        <f>+'CUOTA INDUSTRIAL'!P91</f>
        <v>0</v>
      </c>
      <c r="M112" s="249" t="e">
        <f>+'CUOTA INDUSTRIAL'!Q91</f>
        <v>#DIV/0!</v>
      </c>
      <c r="N112" s="25" t="s">
        <v>56</v>
      </c>
      <c r="O112" s="26">
        <f>RESUMEN!$B$3</f>
        <v>45481</v>
      </c>
      <c r="P112" s="23">
        <f t="shared" si="6"/>
        <v>2024</v>
      </c>
      <c r="Q112" s="1"/>
    </row>
    <row r="113" spans="1:17">
      <c r="A113" s="22" t="s">
        <v>45</v>
      </c>
      <c r="B113" s="23" t="s">
        <v>39</v>
      </c>
      <c r="C113" s="23" t="s">
        <v>19</v>
      </c>
      <c r="D113" s="23" t="s">
        <v>40</v>
      </c>
      <c r="E113" s="1" t="str">
        <f>+'CUOTA INDUSTRIAL'!C$93</f>
        <v>NOVAMAR SPA</v>
      </c>
      <c r="F113" s="4">
        <v>45292</v>
      </c>
      <c r="G113" s="4">
        <v>45565</v>
      </c>
      <c r="H113" s="24">
        <f>'CUOTA INDUSTRIAL'!F93</f>
        <v>9982.07</v>
      </c>
      <c r="I113" s="24">
        <f>'CUOTA INDUSTRIAL'!G93</f>
        <v>-11091.196699999999</v>
      </c>
      <c r="J113" s="24">
        <f>'CUOTA INDUSTRIAL'!H93</f>
        <v>-1109.1266999999989</v>
      </c>
      <c r="K113" s="24">
        <f>'CUOTA INDUSTRIAL'!I93</f>
        <v>0</v>
      </c>
      <c r="L113" s="24">
        <f>'CUOTA INDUSTRIAL'!J93</f>
        <v>-1109.1266999999989</v>
      </c>
      <c r="M113" s="251">
        <f>'CUOTA INDUSTRIAL'!K93</f>
        <v>0</v>
      </c>
      <c r="N113" s="25" t="s">
        <v>56</v>
      </c>
      <c r="O113" s="26">
        <f>RESUMEN!$B$3</f>
        <v>45481</v>
      </c>
      <c r="P113" s="23">
        <f t="shared" si="6"/>
        <v>2024</v>
      </c>
      <c r="Q113" s="1"/>
    </row>
    <row r="114" spans="1:17">
      <c r="A114" s="22" t="s">
        <v>45</v>
      </c>
      <c r="B114" s="23" t="s">
        <v>39</v>
      </c>
      <c r="C114" s="23" t="s">
        <v>19</v>
      </c>
      <c r="D114" s="23" t="s">
        <v>40</v>
      </c>
      <c r="E114" s="1" t="str">
        <f>+'CUOTA INDUSTRIAL'!C$93</f>
        <v>NOVAMAR SPA</v>
      </c>
      <c r="F114" s="4">
        <v>45566</v>
      </c>
      <c r="G114" s="4">
        <v>45657</v>
      </c>
      <c r="H114" s="24">
        <f>'CUOTA INDUSTRIAL'!F94</f>
        <v>1109.127</v>
      </c>
      <c r="I114" s="24">
        <f>'CUOTA INDUSTRIAL'!G94</f>
        <v>0</v>
      </c>
      <c r="J114" s="24">
        <f>'CUOTA INDUSTRIAL'!H94</f>
        <v>3.0000000106156222E-4</v>
      </c>
      <c r="K114" s="24">
        <f>'CUOTA INDUSTRIAL'!I94</f>
        <v>0</v>
      </c>
      <c r="L114" s="24">
        <f>'CUOTA INDUSTRIAL'!J94</f>
        <v>3.0000000106156222E-4</v>
      </c>
      <c r="M114" s="251">
        <f>'CUOTA INDUSTRIAL'!K94</f>
        <v>0</v>
      </c>
      <c r="N114" s="25" t="s">
        <v>56</v>
      </c>
      <c r="O114" s="26">
        <f>RESUMEN!$B$3</f>
        <v>45481</v>
      </c>
      <c r="P114" s="23">
        <f t="shared" si="6"/>
        <v>2024</v>
      </c>
      <c r="Q114" s="1"/>
    </row>
    <row r="115" spans="1:17">
      <c r="A115" s="22" t="s">
        <v>45</v>
      </c>
      <c r="B115" s="23" t="s">
        <v>39</v>
      </c>
      <c r="C115" s="23" t="s">
        <v>19</v>
      </c>
      <c r="D115" s="23" t="s">
        <v>40</v>
      </c>
      <c r="E115" s="1" t="str">
        <f>+'CUOTA INDUSTRIAL'!C$93</f>
        <v>NOVAMAR SPA</v>
      </c>
      <c r="F115" s="4">
        <v>45292</v>
      </c>
      <c r="G115" s="4">
        <v>45657</v>
      </c>
      <c r="H115" s="24">
        <f>+'CUOTA INDUSTRIAL'!$L$93</f>
        <v>11091.197</v>
      </c>
      <c r="I115" s="3">
        <f>+'CUOTA INDUSTRIAL'!M93</f>
        <v>-11091.196699999999</v>
      </c>
      <c r="J115" s="3">
        <f>+'CUOTA INDUSTRIAL'!N93</f>
        <v>3.0000000151630957E-4</v>
      </c>
      <c r="K115" s="3">
        <f>+'CUOTA INDUSTRIAL'!O93</f>
        <v>0</v>
      </c>
      <c r="L115" s="3">
        <f>+'CUOTA INDUSTRIAL'!P93</f>
        <v>3.0000000151630957E-4</v>
      </c>
      <c r="M115" s="249">
        <f>+'CUOTA INDUSTRIAL'!Q93</f>
        <v>0</v>
      </c>
      <c r="N115" s="25" t="s">
        <v>56</v>
      </c>
      <c r="O115" s="26">
        <f>RESUMEN!$B$3</f>
        <v>45481</v>
      </c>
      <c r="P115" s="23">
        <f t="shared" si="6"/>
        <v>2024</v>
      </c>
      <c r="Q115" s="1"/>
    </row>
    <row r="116" spans="1:17">
      <c r="A116" s="22" t="s">
        <v>45</v>
      </c>
      <c r="B116" s="23" t="s">
        <v>39</v>
      </c>
      <c r="C116" s="23" t="s">
        <v>19</v>
      </c>
      <c r="D116" s="23" t="s">
        <v>40</v>
      </c>
      <c r="E116" s="1" t="str">
        <f>+'CUOTA INDUSTRIAL'!C$95</f>
        <v>OPERACIONES BRAGA SPA</v>
      </c>
      <c r="F116" s="4">
        <v>45292</v>
      </c>
      <c r="G116" s="4">
        <v>45565</v>
      </c>
      <c r="H116" s="24">
        <f>'CUOTA INDUSTRIAL'!F95</f>
        <v>2195.433</v>
      </c>
      <c r="I116" s="24">
        <f>'CUOTA INDUSTRIAL'!G95</f>
        <v>-2439.3719999999998</v>
      </c>
      <c r="J116" s="24">
        <f>'CUOTA INDUSTRIAL'!H95</f>
        <v>-243.93899999999985</v>
      </c>
      <c r="K116" s="24">
        <f>'CUOTA INDUSTRIAL'!I95</f>
        <v>0</v>
      </c>
      <c r="L116" s="24">
        <f>'CUOTA INDUSTRIAL'!J95</f>
        <v>-243.93899999999985</v>
      </c>
      <c r="M116" s="251">
        <f>'CUOTA INDUSTRIAL'!K95</f>
        <v>0</v>
      </c>
      <c r="N116" s="25" t="s">
        <v>56</v>
      </c>
      <c r="O116" s="26">
        <f>RESUMEN!$B$3</f>
        <v>45481</v>
      </c>
      <c r="P116" s="23">
        <f t="shared" si="6"/>
        <v>2024</v>
      </c>
      <c r="Q116" s="1"/>
    </row>
    <row r="117" spans="1:17">
      <c r="A117" s="22" t="s">
        <v>45</v>
      </c>
      <c r="B117" s="23" t="s">
        <v>39</v>
      </c>
      <c r="C117" s="23" t="s">
        <v>19</v>
      </c>
      <c r="D117" s="23" t="s">
        <v>40</v>
      </c>
      <c r="E117" s="1" t="str">
        <f>+'CUOTA INDUSTRIAL'!C$95</f>
        <v>OPERACIONES BRAGA SPA</v>
      </c>
      <c r="F117" s="4">
        <v>45566</v>
      </c>
      <c r="G117" s="4">
        <v>45657</v>
      </c>
      <c r="H117" s="24">
        <f>'CUOTA INDUSTRIAL'!F96</f>
        <v>243.93899999999999</v>
      </c>
      <c r="I117" s="24">
        <f>'CUOTA INDUSTRIAL'!G96</f>
        <v>0</v>
      </c>
      <c r="J117" s="24">
        <f>'CUOTA INDUSTRIAL'!H96</f>
        <v>1.4210854715202004E-13</v>
      </c>
      <c r="K117" s="24">
        <f>'CUOTA INDUSTRIAL'!I96</f>
        <v>0</v>
      </c>
      <c r="L117" s="24">
        <f>'CUOTA INDUSTRIAL'!J96</f>
        <v>1.4210854715202004E-13</v>
      </c>
      <c r="M117" s="251">
        <f>'CUOTA INDUSTRIAL'!K96</f>
        <v>0</v>
      </c>
      <c r="N117" s="25" t="s">
        <v>56</v>
      </c>
      <c r="O117" s="26">
        <f>RESUMEN!$B$3</f>
        <v>45481</v>
      </c>
      <c r="P117" s="23">
        <f t="shared" si="6"/>
        <v>2024</v>
      </c>
      <c r="Q117" s="1"/>
    </row>
    <row r="118" spans="1:17">
      <c r="A118" s="22" t="s">
        <v>45</v>
      </c>
      <c r="B118" s="23" t="s">
        <v>39</v>
      </c>
      <c r="C118" s="23" t="s">
        <v>19</v>
      </c>
      <c r="D118" s="23" t="s">
        <v>40</v>
      </c>
      <c r="E118" s="1" t="str">
        <f>+'CUOTA INDUSTRIAL'!C$95</f>
        <v>OPERACIONES BRAGA SPA</v>
      </c>
      <c r="F118" s="4">
        <v>45292</v>
      </c>
      <c r="G118" s="4">
        <v>45657</v>
      </c>
      <c r="H118" s="24">
        <f>+'CUOTA INDUSTRIAL'!$L$95</f>
        <v>2439.3719999999998</v>
      </c>
      <c r="I118" s="3">
        <f>+'CUOTA INDUSTRIAL'!M95</f>
        <v>-2439.3719999999998</v>
      </c>
      <c r="J118" s="3">
        <f>+'CUOTA INDUSTRIAL'!N95</f>
        <v>0</v>
      </c>
      <c r="K118" s="3">
        <f>+'CUOTA INDUSTRIAL'!O95</f>
        <v>0</v>
      </c>
      <c r="L118" s="3">
        <f>+'CUOTA INDUSTRIAL'!P95</f>
        <v>0</v>
      </c>
      <c r="M118" s="249" t="e">
        <f>+'CUOTA INDUSTRIAL'!Q95</f>
        <v>#DIV/0!</v>
      </c>
      <c r="N118" s="25" t="s">
        <v>56</v>
      </c>
      <c r="O118" s="26">
        <f>RESUMEN!$B$3</f>
        <v>45481</v>
      </c>
      <c r="P118" s="23">
        <f t="shared" si="6"/>
        <v>2024</v>
      </c>
      <c r="Q118" s="1"/>
    </row>
    <row r="119" spans="1:17">
      <c r="A119" s="22" t="s">
        <v>45</v>
      </c>
      <c r="B119" s="23" t="s">
        <v>39</v>
      </c>
      <c r="C119" s="23" t="s">
        <v>19</v>
      </c>
      <c r="D119" s="23" t="s">
        <v>40</v>
      </c>
      <c r="E119" s="1" t="str">
        <f>+'CUOTA INDUSTRIAL'!C$97</f>
        <v>ORIZON S.A.</v>
      </c>
      <c r="F119" s="4">
        <v>45292</v>
      </c>
      <c r="G119" s="4">
        <v>45565</v>
      </c>
      <c r="H119" s="24">
        <f>'CUOTA INDUSTRIAL'!F97</f>
        <v>121610.84600000001</v>
      </c>
      <c r="I119" s="24">
        <f>'CUOTA INDUSTRIAL'!G97</f>
        <v>416.31700000000092</v>
      </c>
      <c r="J119" s="24">
        <f>'CUOTA INDUSTRIAL'!H97</f>
        <v>122027.163</v>
      </c>
      <c r="K119" s="24">
        <f>'CUOTA INDUSTRIAL'!I97</f>
        <v>133124.598</v>
      </c>
      <c r="L119" s="24">
        <f>'CUOTA INDUSTRIAL'!J97</f>
        <v>-11097.434999999998</v>
      </c>
      <c r="M119" s="251">
        <f>'CUOTA INDUSTRIAL'!K97</f>
        <v>1.0909423338802033</v>
      </c>
      <c r="N119" s="25" t="s">
        <v>56</v>
      </c>
      <c r="O119" s="26">
        <f>RESUMEN!$B$3</f>
        <v>45481</v>
      </c>
      <c r="P119" s="23">
        <f t="shared" si="6"/>
        <v>2024</v>
      </c>
      <c r="Q119" s="1"/>
    </row>
    <row r="120" spans="1:17">
      <c r="A120" s="22" t="s">
        <v>45</v>
      </c>
      <c r="B120" s="23" t="s">
        <v>39</v>
      </c>
      <c r="C120" s="23" t="s">
        <v>19</v>
      </c>
      <c r="D120" s="23" t="s">
        <v>40</v>
      </c>
      <c r="E120" s="1" t="str">
        <f>+'CUOTA INDUSTRIAL'!C$97</f>
        <v>ORIZON S.A.</v>
      </c>
      <c r="F120" s="4">
        <v>45566</v>
      </c>
      <c r="G120" s="4">
        <v>45657</v>
      </c>
      <c r="H120" s="24">
        <f>'CUOTA INDUSTRIAL'!F98</f>
        <v>13512.413</v>
      </c>
      <c r="I120" s="24">
        <f>'CUOTA INDUSTRIAL'!G98</f>
        <v>0</v>
      </c>
      <c r="J120" s="24">
        <f>'CUOTA INDUSTRIAL'!H98</f>
        <v>2414.9780000000028</v>
      </c>
      <c r="K120" s="24">
        <f>'CUOTA INDUSTRIAL'!I98</f>
        <v>0</v>
      </c>
      <c r="L120" s="24">
        <f>'CUOTA INDUSTRIAL'!J98</f>
        <v>2414.9780000000028</v>
      </c>
      <c r="M120" s="251">
        <f>'CUOTA INDUSTRIAL'!K98</f>
        <v>0</v>
      </c>
      <c r="N120" s="25" t="s">
        <v>56</v>
      </c>
      <c r="O120" s="26">
        <f>RESUMEN!$B$3</f>
        <v>45481</v>
      </c>
      <c r="P120" s="23">
        <f t="shared" si="6"/>
        <v>2024</v>
      </c>
      <c r="Q120" s="1"/>
    </row>
    <row r="121" spans="1:17">
      <c r="A121" s="22" t="s">
        <v>45</v>
      </c>
      <c r="B121" s="23" t="s">
        <v>39</v>
      </c>
      <c r="C121" s="23" t="s">
        <v>19</v>
      </c>
      <c r="D121" s="23" t="s">
        <v>40</v>
      </c>
      <c r="E121" s="1" t="str">
        <f>+'CUOTA INDUSTRIAL'!C$97</f>
        <v>ORIZON S.A.</v>
      </c>
      <c r="F121" s="4">
        <v>45292</v>
      </c>
      <c r="G121" s="4">
        <v>45657</v>
      </c>
      <c r="H121" s="24">
        <f>+'CUOTA INDUSTRIAL'!$L$97</f>
        <v>135123.25900000002</v>
      </c>
      <c r="I121" s="3">
        <f>+'CUOTA INDUSTRIAL'!M97</f>
        <v>416.31700000000092</v>
      </c>
      <c r="J121" s="3">
        <f>+'CUOTA INDUSTRIAL'!N97</f>
        <v>135539.57600000003</v>
      </c>
      <c r="K121" s="3">
        <f>+'CUOTA INDUSTRIAL'!O97</f>
        <v>133124.598</v>
      </c>
      <c r="L121" s="3">
        <f>+'CUOTA INDUSTRIAL'!P97</f>
        <v>2414.9780000000319</v>
      </c>
      <c r="M121" s="249">
        <f>+'CUOTA INDUSTRIAL'!Q97</f>
        <v>0.98218248816124354</v>
      </c>
      <c r="N121" s="25" t="s">
        <v>56</v>
      </c>
      <c r="O121" s="26">
        <f>RESUMEN!$B$3</f>
        <v>45481</v>
      </c>
      <c r="P121" s="23">
        <f t="shared" si="6"/>
        <v>2024</v>
      </c>
      <c r="Q121" s="1"/>
    </row>
    <row r="122" spans="1:17" ht="16.5" customHeight="1">
      <c r="A122" s="22" t="s">
        <v>45</v>
      </c>
      <c r="B122" s="23" t="s">
        <v>39</v>
      </c>
      <c r="C122" s="23" t="s">
        <v>19</v>
      </c>
      <c r="D122" s="23" t="s">
        <v>40</v>
      </c>
      <c r="E122" s="1" t="str">
        <f>'CUOTA INDUSTRIAL'!$C$99</f>
        <v>PACIFICBLU SpA</v>
      </c>
      <c r="F122" s="4">
        <v>45292</v>
      </c>
      <c r="G122" s="4">
        <v>45565</v>
      </c>
      <c r="H122" s="24">
        <f>'CUOTA INDUSTRIAL'!F99</f>
        <v>74.992000000000004</v>
      </c>
      <c r="I122" s="24">
        <f>'CUOTA INDUSTRIAL'!G99</f>
        <v>5.2080000000000002</v>
      </c>
      <c r="J122" s="24">
        <f>'CUOTA INDUSTRIAL'!H99</f>
        <v>80.2</v>
      </c>
      <c r="K122" s="24">
        <f>'CUOTA INDUSTRIAL'!I99</f>
        <v>34.411000000000001</v>
      </c>
      <c r="L122" s="24">
        <f>'CUOTA INDUSTRIAL'!J99</f>
        <v>45.789000000000001</v>
      </c>
      <c r="M122" s="251">
        <f>'CUOTA INDUSTRIAL'!K99</f>
        <v>0.42906483790523692</v>
      </c>
      <c r="N122" s="25" t="s">
        <v>56</v>
      </c>
      <c r="O122" s="26">
        <f>RESUMEN!$B$3</f>
        <v>45481</v>
      </c>
      <c r="P122" s="23">
        <f t="shared" si="6"/>
        <v>2024</v>
      </c>
      <c r="Q122" s="23"/>
    </row>
    <row r="123" spans="1:17" ht="16.5" customHeight="1">
      <c r="A123" s="22" t="s">
        <v>45</v>
      </c>
      <c r="B123" s="23" t="s">
        <v>39</v>
      </c>
      <c r="C123" s="23" t="s">
        <v>19</v>
      </c>
      <c r="D123" s="23" t="s">
        <v>40</v>
      </c>
      <c r="E123" s="1" t="str">
        <f>'CUOTA INDUSTRIAL'!$C$99</f>
        <v>PACIFICBLU SpA</v>
      </c>
      <c r="F123" s="4">
        <v>45566</v>
      </c>
      <c r="G123" s="4">
        <v>45657</v>
      </c>
      <c r="H123" s="24">
        <f>'CUOTA INDUSTRIAL'!F100</f>
        <v>8.3320000000000007</v>
      </c>
      <c r="I123" s="24">
        <f>'CUOTA INDUSTRIAL'!G100</f>
        <v>0</v>
      </c>
      <c r="J123" s="24">
        <f>'CUOTA INDUSTRIAL'!H100</f>
        <v>54.121000000000002</v>
      </c>
      <c r="K123" s="24">
        <f>'CUOTA INDUSTRIAL'!I100</f>
        <v>0</v>
      </c>
      <c r="L123" s="24">
        <f>'CUOTA INDUSTRIAL'!J100</f>
        <v>54.121000000000002</v>
      </c>
      <c r="M123" s="251">
        <f>'CUOTA INDUSTRIAL'!K100</f>
        <v>0</v>
      </c>
      <c r="N123" s="25" t="s">
        <v>56</v>
      </c>
      <c r="O123" s="26">
        <f>RESUMEN!$B$3</f>
        <v>45481</v>
      </c>
      <c r="P123" s="23">
        <f t="shared" si="6"/>
        <v>2024</v>
      </c>
      <c r="Q123" s="23"/>
    </row>
    <row r="124" spans="1:17" ht="16.5" customHeight="1">
      <c r="A124" s="22" t="s">
        <v>45</v>
      </c>
      <c r="B124" s="23" t="s">
        <v>39</v>
      </c>
      <c r="C124" s="23" t="s">
        <v>19</v>
      </c>
      <c r="D124" s="23" t="s">
        <v>40</v>
      </c>
      <c r="E124" s="1" t="str">
        <f>'CUOTA INDUSTRIAL'!$C$99</f>
        <v>PACIFICBLU SpA</v>
      </c>
      <c r="F124" s="4">
        <v>45292</v>
      </c>
      <c r="G124" s="4">
        <v>45657</v>
      </c>
      <c r="H124" s="24">
        <f>+'CUOTA INDUSTRIAL'!$L$99</f>
        <v>83.324000000000012</v>
      </c>
      <c r="I124" s="3">
        <f>'CUOTA INDUSTRIAL'!M99</f>
        <v>5.2080000000000002</v>
      </c>
      <c r="J124" s="3">
        <f>'CUOTA INDUSTRIAL'!N99</f>
        <v>88.532000000000011</v>
      </c>
      <c r="K124" s="3">
        <f>'CUOTA INDUSTRIAL'!O99</f>
        <v>34.411000000000001</v>
      </c>
      <c r="L124" s="3">
        <f>'CUOTA INDUSTRIAL'!P99</f>
        <v>54.121000000000009</v>
      </c>
      <c r="M124" s="249">
        <f>'CUOTA INDUSTRIAL'!Q99</f>
        <v>0.38868431753490262</v>
      </c>
      <c r="N124" s="25" t="s">
        <v>56</v>
      </c>
      <c r="O124" s="26">
        <f>RESUMEN!$B$3</f>
        <v>45481</v>
      </c>
      <c r="P124" s="23">
        <f t="shared" si="6"/>
        <v>2024</v>
      </c>
      <c r="Q124" s="23"/>
    </row>
    <row r="125" spans="1:17" ht="16.5" customHeight="1">
      <c r="A125" s="22" t="s">
        <v>45</v>
      </c>
      <c r="B125" s="23" t="s">
        <v>39</v>
      </c>
      <c r="C125" s="23" t="s">
        <v>19</v>
      </c>
      <c r="D125" s="23" t="s">
        <v>40</v>
      </c>
      <c r="E125" s="1" t="str">
        <f>'CUOTA INDUSTRIAL'!$C$101</f>
        <v>SIPESUR SPA</v>
      </c>
      <c r="F125" s="4">
        <v>45292</v>
      </c>
      <c r="G125" s="4">
        <v>45565</v>
      </c>
      <c r="H125" s="24">
        <f>'CUOTA INDUSTRIAL'!F101</f>
        <v>13164.209000000001</v>
      </c>
      <c r="I125" s="24">
        <f>'CUOTA INDUSTRIAL'!G101</f>
        <v>12874.739</v>
      </c>
      <c r="J125" s="24">
        <f>'CUOTA INDUSTRIAL'!H101</f>
        <v>26038.948</v>
      </c>
      <c r="K125" s="24">
        <f>'CUOTA INDUSTRIAL'!I101</f>
        <v>25039.572</v>
      </c>
      <c r="L125" s="24">
        <f>'CUOTA INDUSTRIAL'!J101</f>
        <v>999.3760000000002</v>
      </c>
      <c r="M125" s="251">
        <f>'CUOTA INDUSTRIAL'!K101</f>
        <v>0.96161995484610208</v>
      </c>
      <c r="N125" s="25" t="s">
        <v>56</v>
      </c>
      <c r="O125" s="26">
        <f>RESUMEN!$B$3</f>
        <v>45481</v>
      </c>
      <c r="P125" s="23">
        <f t="shared" si="6"/>
        <v>2024</v>
      </c>
      <c r="Q125" s="23"/>
    </row>
    <row r="126" spans="1:17" ht="16.5" customHeight="1">
      <c r="A126" s="22" t="s">
        <v>45</v>
      </c>
      <c r="B126" s="23" t="s">
        <v>39</v>
      </c>
      <c r="C126" s="23" t="s">
        <v>19</v>
      </c>
      <c r="D126" s="23" t="s">
        <v>40</v>
      </c>
      <c r="E126" s="1" t="str">
        <f>'CUOTA INDUSTRIAL'!$C$101</f>
        <v>SIPESUR SPA</v>
      </c>
      <c r="F126" s="4">
        <v>45566</v>
      </c>
      <c r="G126" s="4">
        <v>45657</v>
      </c>
      <c r="H126" s="24">
        <f>'CUOTA INDUSTRIAL'!F102</f>
        <v>1462.701</v>
      </c>
      <c r="I126" s="24">
        <f>'CUOTA INDUSTRIAL'!G102</f>
        <v>0</v>
      </c>
      <c r="J126" s="24">
        <f>'CUOTA INDUSTRIAL'!H102</f>
        <v>2462.0770000000002</v>
      </c>
      <c r="K126" s="24">
        <f>'CUOTA INDUSTRIAL'!I102</f>
        <v>0</v>
      </c>
      <c r="L126" s="24">
        <f>'CUOTA INDUSTRIAL'!J102</f>
        <v>2462.0770000000002</v>
      </c>
      <c r="M126" s="251">
        <f>'CUOTA INDUSTRIAL'!K102</f>
        <v>0</v>
      </c>
      <c r="N126" s="25" t="s">
        <v>56</v>
      </c>
      <c r="O126" s="26">
        <f>RESUMEN!$B$3</f>
        <v>45481</v>
      </c>
      <c r="P126" s="23">
        <f t="shared" si="6"/>
        <v>2024</v>
      </c>
      <c r="Q126" s="23"/>
    </row>
    <row r="127" spans="1:17" ht="16.5" customHeight="1">
      <c r="A127" s="22" t="s">
        <v>45</v>
      </c>
      <c r="B127" s="23" t="s">
        <v>39</v>
      </c>
      <c r="C127" s="23" t="s">
        <v>19</v>
      </c>
      <c r="D127" s="23" t="s">
        <v>40</v>
      </c>
      <c r="E127" s="1" t="str">
        <f>'CUOTA INDUSTRIAL'!$C$101</f>
        <v>SIPESUR SPA</v>
      </c>
      <c r="F127" s="4">
        <v>45292</v>
      </c>
      <c r="G127" s="4">
        <v>45657</v>
      </c>
      <c r="H127" s="24">
        <f>+'CUOTA INDUSTRIAL'!$L$101</f>
        <v>14626.91</v>
      </c>
      <c r="I127" s="3">
        <f>'CUOTA INDUSTRIAL'!M101</f>
        <v>12874.739</v>
      </c>
      <c r="J127" s="3">
        <f>'CUOTA INDUSTRIAL'!N101</f>
        <v>27501.648999999998</v>
      </c>
      <c r="K127" s="3">
        <f>'CUOTA INDUSTRIAL'!O101</f>
        <v>25039.572</v>
      </c>
      <c r="L127" s="3">
        <f>'CUOTA INDUSTRIAL'!P101</f>
        <v>2462.0769999999975</v>
      </c>
      <c r="M127" s="249">
        <f>'CUOTA INDUSTRIAL'!Q101</f>
        <v>0.91047529549955353</v>
      </c>
      <c r="N127" s="25" t="s">
        <v>56</v>
      </c>
      <c r="O127" s="26">
        <f>RESUMEN!$B$3</f>
        <v>45481</v>
      </c>
      <c r="P127" s="23">
        <f t="shared" si="6"/>
        <v>2024</v>
      </c>
      <c r="Q127" s="23"/>
    </row>
    <row r="128" spans="1:17" ht="16.5" customHeight="1">
      <c r="A128" s="22" t="s">
        <v>45</v>
      </c>
      <c r="B128" s="23" t="s">
        <v>39</v>
      </c>
      <c r="C128" s="23" t="s">
        <v>19</v>
      </c>
      <c r="D128" s="23" t="s">
        <v>40</v>
      </c>
      <c r="E128" s="1" t="str">
        <f>'CUOTA INDUSTRIAL'!$C$103</f>
        <v>SUR AUSTRAL S.A. PESQ.</v>
      </c>
      <c r="F128" s="4">
        <v>45292</v>
      </c>
      <c r="G128" s="4">
        <v>45565</v>
      </c>
      <c r="H128" s="24">
        <f>'CUOTA INDUSTRIAL'!F103</f>
        <v>153.78</v>
      </c>
      <c r="I128" s="24">
        <f>'CUOTA INDUSTRIAL'!G103</f>
        <v>0</v>
      </c>
      <c r="J128" s="24">
        <f>'CUOTA INDUSTRIAL'!H103</f>
        <v>153.78</v>
      </c>
      <c r="K128" s="24">
        <f>'CUOTA INDUSTRIAL'!I103</f>
        <v>0</v>
      </c>
      <c r="L128" s="24">
        <f>'CUOTA INDUSTRIAL'!J103</f>
        <v>153.78</v>
      </c>
      <c r="M128" s="251">
        <f>'CUOTA INDUSTRIAL'!K103</f>
        <v>0</v>
      </c>
      <c r="N128" s="25" t="s">
        <v>56</v>
      </c>
      <c r="O128" s="26">
        <f>RESUMEN!$B$3</f>
        <v>45481</v>
      </c>
      <c r="P128" s="23">
        <f t="shared" si="6"/>
        <v>2024</v>
      </c>
      <c r="Q128" s="23"/>
    </row>
    <row r="129" spans="1:17" ht="16.5" customHeight="1">
      <c r="A129" s="22" t="s">
        <v>45</v>
      </c>
      <c r="B129" s="23" t="s">
        <v>39</v>
      </c>
      <c r="C129" s="23" t="s">
        <v>19</v>
      </c>
      <c r="D129" s="23" t="s">
        <v>40</v>
      </c>
      <c r="E129" s="1" t="str">
        <f>'CUOTA INDUSTRIAL'!$C$103</f>
        <v>SUR AUSTRAL S.A. PESQ.</v>
      </c>
      <c r="F129" s="4">
        <v>45566</v>
      </c>
      <c r="G129" s="4">
        <v>45657</v>
      </c>
      <c r="H129" s="24">
        <f>'CUOTA INDUSTRIAL'!F104</f>
        <v>17.087</v>
      </c>
      <c r="I129" s="24">
        <f>'CUOTA INDUSTRIAL'!G104</f>
        <v>0</v>
      </c>
      <c r="J129" s="24">
        <f>'CUOTA INDUSTRIAL'!H104</f>
        <v>170.86699999999999</v>
      </c>
      <c r="K129" s="24">
        <f>'CUOTA INDUSTRIAL'!I104</f>
        <v>0</v>
      </c>
      <c r="L129" s="24">
        <f>'CUOTA INDUSTRIAL'!J104</f>
        <v>170.86699999999999</v>
      </c>
      <c r="M129" s="251">
        <f>'CUOTA INDUSTRIAL'!K104</f>
        <v>0</v>
      </c>
      <c r="N129" s="25" t="s">
        <v>56</v>
      </c>
      <c r="O129" s="26">
        <f>RESUMEN!$B$3</f>
        <v>45481</v>
      </c>
      <c r="P129" s="23">
        <f>YEAR(O129)</f>
        <v>2024</v>
      </c>
      <c r="Q129" s="23"/>
    </row>
    <row r="130" spans="1:17" s="278" customFormat="1" ht="16.5" customHeight="1">
      <c r="A130" s="276" t="s">
        <v>45</v>
      </c>
      <c r="B130" s="272" t="s">
        <v>39</v>
      </c>
      <c r="C130" s="272" t="s">
        <v>19</v>
      </c>
      <c r="D130" s="272" t="s">
        <v>40</v>
      </c>
      <c r="E130" s="112" t="str">
        <f>'CUOTA INDUSTRIAL'!$C$103</f>
        <v>SUR AUSTRAL S.A. PESQ.</v>
      </c>
      <c r="F130" s="277">
        <v>45292</v>
      </c>
      <c r="G130" s="277">
        <v>45657</v>
      </c>
      <c r="H130" s="268">
        <f>+'CUOTA INDUSTRIAL'!$L$103</f>
        <v>170.86699999999999</v>
      </c>
      <c r="I130" s="273">
        <f>'CUOTA INDUSTRIAL'!M103</f>
        <v>0</v>
      </c>
      <c r="J130" s="273">
        <f>'CUOTA INDUSTRIAL'!N103</f>
        <v>170.86699999999999</v>
      </c>
      <c r="K130" s="273">
        <f>'CUOTA INDUSTRIAL'!O103</f>
        <v>0</v>
      </c>
      <c r="L130" s="273">
        <f>'CUOTA INDUSTRIAL'!P103</f>
        <v>170.86699999999999</v>
      </c>
      <c r="M130" s="274">
        <f>'CUOTA INDUSTRIAL'!Q103</f>
        <v>0</v>
      </c>
      <c r="N130" s="270" t="s">
        <v>56</v>
      </c>
      <c r="O130" s="271">
        <f>RESUMEN!$B$3</f>
        <v>45481</v>
      </c>
      <c r="P130" s="272">
        <f>YEAR(O130)</f>
        <v>2024</v>
      </c>
      <c r="Q130" s="272"/>
    </row>
    <row r="131" spans="1:17" s="278" customFormat="1" ht="16.5" customHeight="1">
      <c r="A131" s="276" t="s">
        <v>45</v>
      </c>
      <c r="B131" s="272" t="s">
        <v>39</v>
      </c>
      <c r="C131" s="272" t="s">
        <v>19</v>
      </c>
      <c r="D131" s="272" t="s">
        <v>40</v>
      </c>
      <c r="E131" s="112" t="str">
        <f>'CUOTA INDUSTRIAL'!$C$105</f>
        <v>THOR FISHERIES CHILE SPA</v>
      </c>
      <c r="F131" s="277">
        <v>45292</v>
      </c>
      <c r="G131" s="277">
        <v>45565</v>
      </c>
      <c r="H131" s="268">
        <f>'CUOTA INDUSTRIAL'!F105</f>
        <v>4.6870000000000003</v>
      </c>
      <c r="I131" s="268">
        <f>'CUOTA INDUSTRIAL'!G105</f>
        <v>5.2080000000000002</v>
      </c>
      <c r="J131" s="268">
        <f>'CUOTA INDUSTRIAL'!H105</f>
        <v>9.8949999999999996</v>
      </c>
      <c r="K131" s="268">
        <f>'CUOTA INDUSTRIAL'!I105</f>
        <v>0</v>
      </c>
      <c r="L131" s="268">
        <f>'CUOTA INDUSTRIAL'!J105</f>
        <v>9.8949999999999996</v>
      </c>
      <c r="M131" s="269">
        <f>'CUOTA INDUSTRIAL'!K105</f>
        <v>0</v>
      </c>
      <c r="N131" s="270" t="s">
        <v>56</v>
      </c>
      <c r="O131" s="271">
        <f>RESUMEN!$B$3</f>
        <v>45481</v>
      </c>
      <c r="P131" s="272">
        <f>YEAR(O131)</f>
        <v>2024</v>
      </c>
      <c r="Q131" s="272"/>
    </row>
    <row r="132" spans="1:17" s="278" customFormat="1" ht="16.5" customHeight="1">
      <c r="A132" s="276" t="s">
        <v>45</v>
      </c>
      <c r="B132" s="272" t="s">
        <v>39</v>
      </c>
      <c r="C132" s="272" t="s">
        <v>19</v>
      </c>
      <c r="D132" s="272" t="s">
        <v>40</v>
      </c>
      <c r="E132" s="112" t="str">
        <f>'CUOTA INDUSTRIAL'!$C$105</f>
        <v>THOR FISHERIES CHILE SPA</v>
      </c>
      <c r="F132" s="277">
        <v>45566</v>
      </c>
      <c r="G132" s="277">
        <v>45657</v>
      </c>
      <c r="H132" s="268">
        <f>'CUOTA INDUSTRIAL'!F106</f>
        <v>0.52100000000000002</v>
      </c>
      <c r="I132" s="268">
        <f>'CUOTA INDUSTRIAL'!G106</f>
        <v>0</v>
      </c>
      <c r="J132" s="268">
        <f>'CUOTA INDUSTRIAL'!H106</f>
        <v>10.416</v>
      </c>
      <c r="K132" s="268">
        <f>'CUOTA INDUSTRIAL'!I106</f>
        <v>0</v>
      </c>
      <c r="L132" s="268">
        <f>'CUOTA INDUSTRIAL'!J106</f>
        <v>10.416</v>
      </c>
      <c r="M132" s="269">
        <f>'CUOTA INDUSTRIAL'!K106</f>
        <v>0</v>
      </c>
      <c r="N132" s="270" t="s">
        <v>56</v>
      </c>
      <c r="O132" s="271">
        <f>RESUMEN!$B$3</f>
        <v>45481</v>
      </c>
      <c r="P132" s="272">
        <f>YEAR(O132)</f>
        <v>2024</v>
      </c>
      <c r="Q132" s="272"/>
    </row>
    <row r="133" spans="1:17" s="278" customFormat="1" ht="16.5" customHeight="1">
      <c r="A133" s="276" t="s">
        <v>45</v>
      </c>
      <c r="B133" s="272" t="s">
        <v>39</v>
      </c>
      <c r="C133" s="272" t="s">
        <v>19</v>
      </c>
      <c r="D133" s="272" t="s">
        <v>40</v>
      </c>
      <c r="E133" s="112" t="str">
        <f>'CUOTA INDUSTRIAL'!$C$105</f>
        <v>THOR FISHERIES CHILE SPA</v>
      </c>
      <c r="F133" s="277">
        <v>45292</v>
      </c>
      <c r="G133" s="277">
        <v>45657</v>
      </c>
      <c r="H133" s="268">
        <f>+'CUOTA INDUSTRIAL'!$L$105</f>
        <v>5.2080000000000002</v>
      </c>
      <c r="I133" s="273">
        <f>'CUOTA INDUSTRIAL'!M105</f>
        <v>5.2080000000000002</v>
      </c>
      <c r="J133" s="273">
        <f>'CUOTA INDUSTRIAL'!N105</f>
        <v>10.416</v>
      </c>
      <c r="K133" s="273">
        <f>'CUOTA INDUSTRIAL'!O105</f>
        <v>0</v>
      </c>
      <c r="L133" s="273">
        <f>'CUOTA INDUSTRIAL'!P105</f>
        <v>10.416</v>
      </c>
      <c r="M133" s="274">
        <f>'CUOTA INDUSTRIAL'!Q105</f>
        <v>0</v>
      </c>
      <c r="N133" s="270" t="s">
        <v>56</v>
      </c>
      <c r="O133" s="271">
        <f>RESUMEN!$B$3</f>
        <v>45481</v>
      </c>
      <c r="P133" s="272">
        <f>YEAR(O133)</f>
        <v>2024</v>
      </c>
      <c r="Q133" s="272"/>
    </row>
    <row r="134" spans="1:17" s="278" customFormat="1" ht="16.5" customHeight="1">
      <c r="A134" s="276" t="s">
        <v>45</v>
      </c>
      <c r="B134" s="272" t="s">
        <v>39</v>
      </c>
      <c r="C134" s="272" t="s">
        <v>19</v>
      </c>
      <c r="D134" s="272" t="s">
        <v>40</v>
      </c>
      <c r="E134" s="112" t="str">
        <f>'CUOTA INDUSTRIAL'!$C$107</f>
        <v>PESQUERA CENTRO SUR SpA</v>
      </c>
      <c r="F134" s="277">
        <v>45292</v>
      </c>
      <c r="G134" s="277">
        <v>45565</v>
      </c>
      <c r="H134" s="268">
        <f>'CUOTA INDUSTRIAL'!F107</f>
        <v>0</v>
      </c>
      <c r="I134" s="268">
        <f>'CUOTA INDUSTRIAL'!G107</f>
        <v>-3.0000000015206751E-4</v>
      </c>
      <c r="J134" s="268">
        <f>'CUOTA INDUSTRIAL'!H107</f>
        <v>-3.0000000015206751E-4</v>
      </c>
      <c r="K134" s="268">
        <f>'CUOTA INDUSTRIAL'!I107</f>
        <v>0</v>
      </c>
      <c r="L134" s="268">
        <f>'CUOTA INDUSTRIAL'!J107</f>
        <v>-3.0000000015206751E-4</v>
      </c>
      <c r="M134" s="269">
        <f>'CUOTA INDUSTRIAL'!K107</f>
        <v>0</v>
      </c>
      <c r="N134" s="270" t="s">
        <v>56</v>
      </c>
      <c r="O134" s="271">
        <f>RESUMEN!$B$3</f>
        <v>45481</v>
      </c>
      <c r="P134" s="272">
        <f t="shared" ref="P134:P139" si="7">YEAR(O134)</f>
        <v>2024</v>
      </c>
      <c r="Q134" s="272"/>
    </row>
    <row r="135" spans="1:17" s="278" customFormat="1" ht="16.5" customHeight="1">
      <c r="A135" s="276" t="s">
        <v>45</v>
      </c>
      <c r="B135" s="272" t="s">
        <v>39</v>
      </c>
      <c r="C135" s="272" t="s">
        <v>19</v>
      </c>
      <c r="D135" s="272" t="s">
        <v>40</v>
      </c>
      <c r="E135" s="112" t="str">
        <f>'CUOTA INDUSTRIAL'!$C$107</f>
        <v>PESQUERA CENTRO SUR SpA</v>
      </c>
      <c r="F135" s="277">
        <v>45566</v>
      </c>
      <c r="G135" s="277">
        <v>45657</v>
      </c>
      <c r="H135" s="268">
        <f>'CUOTA INDUSTRIAL'!F108</f>
        <v>0</v>
      </c>
      <c r="I135" s="268">
        <f>'CUOTA INDUSTRIAL'!G108</f>
        <v>0</v>
      </c>
      <c r="J135" s="268">
        <f>'CUOTA INDUSTRIAL'!H108</f>
        <v>-3.0000000015206751E-4</v>
      </c>
      <c r="K135" s="268">
        <f>'CUOTA INDUSTRIAL'!I108</f>
        <v>0</v>
      </c>
      <c r="L135" s="268">
        <f>'CUOTA INDUSTRIAL'!J108</f>
        <v>-3.0000000015206751E-4</v>
      </c>
      <c r="M135" s="269">
        <f>'CUOTA INDUSTRIAL'!K108</f>
        <v>0</v>
      </c>
      <c r="N135" s="270" t="s">
        <v>56</v>
      </c>
      <c r="O135" s="271">
        <f>RESUMEN!$B$3</f>
        <v>45481</v>
      </c>
      <c r="P135" s="272">
        <f t="shared" si="7"/>
        <v>2024</v>
      </c>
      <c r="Q135" s="272"/>
    </row>
    <row r="136" spans="1:17" s="278" customFormat="1" ht="16.5" customHeight="1">
      <c r="A136" s="276" t="s">
        <v>45</v>
      </c>
      <c r="B136" s="272" t="s">
        <v>39</v>
      </c>
      <c r="C136" s="272" t="s">
        <v>19</v>
      </c>
      <c r="D136" s="272" t="s">
        <v>40</v>
      </c>
      <c r="E136" s="112" t="str">
        <f>'CUOTA INDUSTRIAL'!$C$107</f>
        <v>PESQUERA CENTRO SUR SpA</v>
      </c>
      <c r="F136" s="277">
        <v>45292</v>
      </c>
      <c r="G136" s="277">
        <v>45657</v>
      </c>
      <c r="H136" s="268">
        <f>+'CUOTA INDUSTRIAL'!$L$107</f>
        <v>0</v>
      </c>
      <c r="I136" s="268">
        <f>+'CUOTA INDUSTRIAL'!$M$107</f>
        <v>-3.0000000015206751E-4</v>
      </c>
      <c r="J136" s="268">
        <f>+'CUOTA INDUSTRIAL'!$N$107</f>
        <v>-3.0000000015206751E-4</v>
      </c>
      <c r="K136" s="268">
        <f>+'CUOTA INDUSTRIAL'!$O$107</f>
        <v>0</v>
      </c>
      <c r="L136" s="268">
        <f>+'CUOTA INDUSTRIAL'!$P$107</f>
        <v>-3.0000000015206751E-4</v>
      </c>
      <c r="M136" s="269">
        <f>+'CUOTA INDUSTRIAL'!$Q$107</f>
        <v>0</v>
      </c>
      <c r="N136" s="270" t="s">
        <v>56</v>
      </c>
      <c r="O136" s="271">
        <f>RESUMEN!$B$3</f>
        <v>45481</v>
      </c>
      <c r="P136" s="272">
        <f t="shared" si="7"/>
        <v>2024</v>
      </c>
      <c r="Q136" s="272"/>
    </row>
    <row r="137" spans="1:17" s="278" customFormat="1" ht="16.5" customHeight="1">
      <c r="A137" s="276" t="s">
        <v>45</v>
      </c>
      <c r="B137" s="272" t="s">
        <v>39</v>
      </c>
      <c r="C137" s="272" t="s">
        <v>19</v>
      </c>
      <c r="D137" s="272" t="s">
        <v>40</v>
      </c>
      <c r="E137" s="112" t="str">
        <f>'CUOTA INDUSTRIAL'!$C$109</f>
        <v>COMERCIAL Y CONSERVERA SAN LAZARO LIMITADA</v>
      </c>
      <c r="F137" s="277">
        <v>45292</v>
      </c>
      <c r="G137" s="277">
        <v>45565</v>
      </c>
      <c r="H137" s="268">
        <f>'CUOTA INDUSTRIAL'!F109</f>
        <v>0</v>
      </c>
      <c r="I137" s="268">
        <f>'CUOTA INDUSTRIAL'!G109</f>
        <v>4686.9939999999997</v>
      </c>
      <c r="J137" s="268">
        <f>'CUOTA INDUSTRIAL'!H109</f>
        <v>4686.9939999999997</v>
      </c>
      <c r="K137" s="268">
        <f>'CUOTA INDUSTRIAL'!I109</f>
        <v>0</v>
      </c>
      <c r="L137" s="268">
        <f>'CUOTA INDUSTRIAL'!J109</f>
        <v>4686.9939999999997</v>
      </c>
      <c r="M137" s="269">
        <f>'CUOTA INDUSTRIAL'!K109</f>
        <v>0</v>
      </c>
      <c r="N137" s="270" t="s">
        <v>56</v>
      </c>
      <c r="O137" s="271">
        <f>RESUMEN!$B$3</f>
        <v>45481</v>
      </c>
      <c r="P137" s="272">
        <f t="shared" si="7"/>
        <v>2024</v>
      </c>
      <c r="Q137" s="272"/>
    </row>
    <row r="138" spans="1:17" s="278" customFormat="1" ht="16.5" customHeight="1">
      <c r="A138" s="276" t="s">
        <v>45</v>
      </c>
      <c r="B138" s="272" t="s">
        <v>39</v>
      </c>
      <c r="C138" s="272" t="s">
        <v>19</v>
      </c>
      <c r="D138" s="272" t="s">
        <v>40</v>
      </c>
      <c r="E138" s="112" t="str">
        <f>'CUOTA INDUSTRIAL'!$C$109</f>
        <v>COMERCIAL Y CONSERVERA SAN LAZARO LIMITADA</v>
      </c>
      <c r="F138" s="277">
        <v>45566</v>
      </c>
      <c r="G138" s="277">
        <v>45657</v>
      </c>
      <c r="H138" s="268">
        <f>'CUOTA INDUSTRIAL'!F110</f>
        <v>0</v>
      </c>
      <c r="I138" s="268">
        <f>'CUOTA INDUSTRIAL'!G110</f>
        <v>0</v>
      </c>
      <c r="J138" s="268">
        <f>'CUOTA INDUSTRIAL'!H110</f>
        <v>4686.9939999999997</v>
      </c>
      <c r="K138" s="268">
        <f>'CUOTA INDUSTRIAL'!I110</f>
        <v>0</v>
      </c>
      <c r="L138" s="268">
        <f>'CUOTA INDUSTRIAL'!J110</f>
        <v>4686.9939999999997</v>
      </c>
      <c r="M138" s="269">
        <f>'CUOTA INDUSTRIAL'!K110</f>
        <v>0</v>
      </c>
      <c r="N138" s="270" t="s">
        <v>56</v>
      </c>
      <c r="O138" s="271">
        <f>RESUMEN!$B$3</f>
        <v>45481</v>
      </c>
      <c r="P138" s="272">
        <f t="shared" si="7"/>
        <v>2024</v>
      </c>
      <c r="Q138" s="272"/>
    </row>
    <row r="139" spans="1:17" s="278" customFormat="1" ht="16.5" customHeight="1">
      <c r="A139" s="276" t="s">
        <v>45</v>
      </c>
      <c r="B139" s="272" t="s">
        <v>39</v>
      </c>
      <c r="C139" s="272" t="s">
        <v>19</v>
      </c>
      <c r="D139" s="272" t="s">
        <v>40</v>
      </c>
      <c r="E139" s="112" t="str">
        <f>'CUOTA INDUSTRIAL'!$C$109</f>
        <v>COMERCIAL Y CONSERVERA SAN LAZARO LIMITADA</v>
      </c>
      <c r="F139" s="277">
        <v>45292</v>
      </c>
      <c r="G139" s="277">
        <v>45657</v>
      </c>
      <c r="H139" s="268">
        <f>+'CUOTA INDUSTRIAL'!$L$109</f>
        <v>0</v>
      </c>
      <c r="I139" s="268">
        <f>+'CUOTA INDUSTRIAL'!$M$109</f>
        <v>4686.9939999999997</v>
      </c>
      <c r="J139" s="268">
        <f>+'CUOTA INDUSTRIAL'!$N$109</f>
        <v>4686.9939999999997</v>
      </c>
      <c r="K139" s="268">
        <f>+'CUOTA INDUSTRIAL'!$O$109</f>
        <v>0</v>
      </c>
      <c r="L139" s="268">
        <f>+'CUOTA INDUSTRIAL'!$P$109</f>
        <v>4686.9939999999997</v>
      </c>
      <c r="M139" s="269">
        <f>+'CUOTA INDUSTRIAL'!$Q$109</f>
        <v>0</v>
      </c>
      <c r="N139" s="270" t="s">
        <v>56</v>
      </c>
      <c r="O139" s="271">
        <f>RESUMEN!$B$3</f>
        <v>45481</v>
      </c>
      <c r="P139" s="272">
        <f t="shared" si="7"/>
        <v>2024</v>
      </c>
      <c r="Q139" s="272"/>
    </row>
    <row r="140" spans="1:17" s="278" customFormat="1" ht="16.5" customHeight="1">
      <c r="A140" s="276" t="s">
        <v>45</v>
      </c>
      <c r="B140" s="272" t="s">
        <v>39</v>
      </c>
      <c r="C140" s="272" t="s">
        <v>19</v>
      </c>
      <c r="D140" s="272" t="s">
        <v>40</v>
      </c>
      <c r="E140" s="112" t="str">
        <f>'CUOTA INDUSTRIAL'!$C$111</f>
        <v>LM INVERSIONES SpA.</v>
      </c>
      <c r="F140" s="277">
        <v>45292</v>
      </c>
      <c r="G140" s="277">
        <v>45565</v>
      </c>
      <c r="H140" s="268">
        <f>'CUOTA INDUSTRIAL'!F111</f>
        <v>0</v>
      </c>
      <c r="I140" s="268">
        <f>'CUOTA INDUSTRIAL'!G111</f>
        <v>0</v>
      </c>
      <c r="J140" s="268">
        <f>'CUOTA INDUSTRIAL'!H111</f>
        <v>0</v>
      </c>
      <c r="K140" s="268">
        <f>'CUOTA INDUSTRIAL'!I111</f>
        <v>0</v>
      </c>
      <c r="L140" s="268">
        <f>'CUOTA INDUSTRIAL'!J111</f>
        <v>0</v>
      </c>
      <c r="M140" s="279" t="e">
        <f>'CUOTA INDUSTRIAL'!K111</f>
        <v>#DIV/0!</v>
      </c>
      <c r="N140" s="270" t="s">
        <v>56</v>
      </c>
      <c r="O140" s="271">
        <f>RESUMEN!$B$3</f>
        <v>45481</v>
      </c>
      <c r="P140" s="272">
        <f t="shared" ref="P140:P142" si="8">YEAR(O140)</f>
        <v>2024</v>
      </c>
      <c r="Q140" s="272"/>
    </row>
    <row r="141" spans="1:17" s="278" customFormat="1" ht="16.5" customHeight="1">
      <c r="A141" s="276" t="s">
        <v>45</v>
      </c>
      <c r="B141" s="272" t="s">
        <v>39</v>
      </c>
      <c r="C141" s="272" t="s">
        <v>19</v>
      </c>
      <c r="D141" s="272" t="s">
        <v>40</v>
      </c>
      <c r="E141" s="112" t="str">
        <f>'CUOTA INDUSTRIAL'!$C$111</f>
        <v>LM INVERSIONES SpA.</v>
      </c>
      <c r="F141" s="277">
        <v>45566</v>
      </c>
      <c r="G141" s="277">
        <v>45657</v>
      </c>
      <c r="H141" s="268">
        <f>'CUOTA INDUSTRIAL'!F112</f>
        <v>0</v>
      </c>
      <c r="I141" s="268">
        <f>'CUOTA INDUSTRIAL'!G112</f>
        <v>0</v>
      </c>
      <c r="J141" s="268">
        <f>'CUOTA INDUSTRIAL'!H112</f>
        <v>0</v>
      </c>
      <c r="K141" s="268">
        <f>'CUOTA INDUSTRIAL'!I112</f>
        <v>0</v>
      </c>
      <c r="L141" s="268">
        <f>'CUOTA INDUSTRIAL'!J112</f>
        <v>0</v>
      </c>
      <c r="M141" s="279" t="e">
        <f>'CUOTA INDUSTRIAL'!K112</f>
        <v>#DIV/0!</v>
      </c>
      <c r="N141" s="270" t="s">
        <v>56</v>
      </c>
      <c r="O141" s="271">
        <f>RESUMEN!$B$3</f>
        <v>45481</v>
      </c>
      <c r="P141" s="272">
        <f t="shared" si="8"/>
        <v>2024</v>
      </c>
      <c r="Q141" s="272"/>
    </row>
    <row r="142" spans="1:17" s="278" customFormat="1" ht="16.5" customHeight="1">
      <c r="A142" s="276" t="s">
        <v>45</v>
      </c>
      <c r="B142" s="272" t="s">
        <v>39</v>
      </c>
      <c r="C142" s="272" t="s">
        <v>19</v>
      </c>
      <c r="D142" s="272" t="s">
        <v>40</v>
      </c>
      <c r="E142" s="112" t="str">
        <f>'CUOTA INDUSTRIAL'!$C$111</f>
        <v>LM INVERSIONES SpA.</v>
      </c>
      <c r="F142" s="277">
        <v>45292</v>
      </c>
      <c r="G142" s="277">
        <v>45657</v>
      </c>
      <c r="H142" s="268">
        <f>+'CUOTA INDUSTRIAL'!$L$111</f>
        <v>0</v>
      </c>
      <c r="I142" s="268">
        <f>+'CUOTA INDUSTRIAL'!$M$111</f>
        <v>0</v>
      </c>
      <c r="J142" s="268">
        <f>+'CUOTA INDUSTRIAL'!$N$111</f>
        <v>0</v>
      </c>
      <c r="K142" s="268">
        <f>+'CUOTA INDUSTRIAL'!$O$111</f>
        <v>0</v>
      </c>
      <c r="L142" s="268">
        <f>+'CUOTA INDUSTRIAL'!$P$111</f>
        <v>0</v>
      </c>
      <c r="M142" s="279" t="e">
        <f>+'CUOTA INDUSTRIAL'!$Q$111</f>
        <v>#DIV/0!</v>
      </c>
      <c r="N142" s="270" t="s">
        <v>56</v>
      </c>
      <c r="O142" s="271">
        <f>RESUMEN!$B$3</f>
        <v>45481</v>
      </c>
      <c r="P142" s="272">
        <f t="shared" si="8"/>
        <v>2024</v>
      </c>
      <c r="Q142" s="272"/>
    </row>
    <row r="143" spans="1:17" s="278" customFormat="1" ht="16.5" customHeight="1">
      <c r="A143" s="276" t="s">
        <v>45</v>
      </c>
      <c r="B143" s="272" t="s">
        <v>39</v>
      </c>
      <c r="C143" s="272" t="s">
        <v>19</v>
      </c>
      <c r="D143" s="272" t="s">
        <v>40</v>
      </c>
      <c r="E143" s="112" t="str">
        <f>'CUOTA INDUSTRIAL'!$C$113</f>
        <v>WQ ENERGY SpA</v>
      </c>
      <c r="F143" s="277">
        <v>45292</v>
      </c>
      <c r="G143" s="277">
        <v>45565</v>
      </c>
      <c r="H143" s="268">
        <f>'CUOTA INDUSTRIAL'!F113</f>
        <v>23.434999999999999</v>
      </c>
      <c r="I143" s="268">
        <f>'CUOTA INDUSTRIAL'!G113</f>
        <v>-26.039000000000001</v>
      </c>
      <c r="J143" s="268">
        <f>'CUOTA INDUSTRIAL'!H113</f>
        <v>-2.6040000000000028</v>
      </c>
      <c r="K143" s="268">
        <f>'CUOTA INDUSTRIAL'!I113</f>
        <v>0</v>
      </c>
      <c r="L143" s="268">
        <f>'CUOTA INDUSTRIAL'!J113</f>
        <v>-2.6040000000000028</v>
      </c>
      <c r="M143" s="269">
        <f>'CUOTA INDUSTRIAL'!K113</f>
        <v>0</v>
      </c>
      <c r="N143" s="270" t="s">
        <v>56</v>
      </c>
      <c r="O143" s="271">
        <f>RESUMEN!$B$3</f>
        <v>45481</v>
      </c>
      <c r="P143" s="272">
        <f t="shared" si="6"/>
        <v>2024</v>
      </c>
      <c r="Q143" s="272"/>
    </row>
    <row r="144" spans="1:17" s="278" customFormat="1" ht="16.5" customHeight="1">
      <c r="A144" s="276" t="s">
        <v>45</v>
      </c>
      <c r="B144" s="272" t="s">
        <v>39</v>
      </c>
      <c r="C144" s="272" t="s">
        <v>19</v>
      </c>
      <c r="D144" s="272" t="s">
        <v>40</v>
      </c>
      <c r="E144" s="112" t="str">
        <f>'CUOTA INDUSTRIAL'!$C$113</f>
        <v>WQ ENERGY SpA</v>
      </c>
      <c r="F144" s="277">
        <v>45566</v>
      </c>
      <c r="G144" s="277">
        <v>45657</v>
      </c>
      <c r="H144" s="268">
        <f>'CUOTA INDUSTRIAL'!F114</f>
        <v>2.6040000000000001</v>
      </c>
      <c r="I144" s="268">
        <f>'CUOTA INDUSTRIAL'!G114</f>
        <v>0</v>
      </c>
      <c r="J144" s="268">
        <f>'CUOTA INDUSTRIAL'!H114</f>
        <v>2.6040000000000001</v>
      </c>
      <c r="K144" s="268">
        <f>'CUOTA INDUSTRIAL'!I114</f>
        <v>0</v>
      </c>
      <c r="L144" s="268">
        <f>'CUOTA INDUSTRIAL'!J114</f>
        <v>2.6040000000000001</v>
      </c>
      <c r="M144" s="269">
        <f>'CUOTA INDUSTRIAL'!K114</f>
        <v>0</v>
      </c>
      <c r="N144" s="270" t="s">
        <v>56</v>
      </c>
      <c r="O144" s="271">
        <f>RESUMEN!$B$3</f>
        <v>45481</v>
      </c>
      <c r="P144" s="272">
        <f t="shared" si="6"/>
        <v>2024</v>
      </c>
      <c r="Q144" s="272"/>
    </row>
    <row r="145" spans="1:17" ht="16.5" customHeight="1">
      <c r="A145" s="292" t="s">
        <v>45</v>
      </c>
      <c r="B145" s="197" t="s">
        <v>39</v>
      </c>
      <c r="C145" s="197" t="s">
        <v>19</v>
      </c>
      <c r="D145" s="197" t="s">
        <v>40</v>
      </c>
      <c r="E145" s="291" t="str">
        <f>'CUOTA INDUSTRIAL'!$C$113</f>
        <v>WQ ENERGY SpA</v>
      </c>
      <c r="F145" s="293">
        <v>45292</v>
      </c>
      <c r="G145" s="4">
        <v>45657</v>
      </c>
      <c r="H145" s="3">
        <f>'CUOTA INDUSTRIAL'!$L$113</f>
        <v>26.038999999999998</v>
      </c>
      <c r="I145" s="3">
        <f>'CUOTA INDUSTRIAL'!M113</f>
        <v>-26.039000000000001</v>
      </c>
      <c r="J145" s="3">
        <f>'CUOTA INDUSTRIAL'!N113</f>
        <v>0</v>
      </c>
      <c r="K145" s="3">
        <f>'CUOTA INDUSTRIAL'!O113</f>
        <v>0</v>
      </c>
      <c r="L145" s="294">
        <f>'CUOTA INDUSTRIAL'!P113</f>
        <v>0</v>
      </c>
      <c r="M145" s="295" t="e">
        <f>'CUOTA INDUSTRIAL'!Q113</f>
        <v>#DIV/0!</v>
      </c>
      <c r="N145" s="293" t="s">
        <v>56</v>
      </c>
      <c r="O145" s="296">
        <f>RESUMEN!$B$3</f>
        <v>45481</v>
      </c>
      <c r="P145" s="197">
        <f t="shared" si="6"/>
        <v>2024</v>
      </c>
      <c r="Q145" s="197"/>
    </row>
    <row r="146" spans="1:17" ht="16.5" customHeight="1">
      <c r="A146" s="341" t="s">
        <v>45</v>
      </c>
      <c r="B146" s="342" t="s">
        <v>39</v>
      </c>
      <c r="C146" s="342" t="s">
        <v>19</v>
      </c>
      <c r="D146" s="342" t="s">
        <v>40</v>
      </c>
      <c r="E146" s="231" t="str">
        <f>'CUOTA INDUSTRIAL'!$C$115</f>
        <v>OPERACIONES SANSE SPA</v>
      </c>
      <c r="F146" s="319">
        <v>45292</v>
      </c>
      <c r="G146" s="319">
        <v>45565</v>
      </c>
      <c r="H146" s="324">
        <f>'CUOTA INDUSTRIAL'!F115</f>
        <v>0</v>
      </c>
      <c r="I146" s="324">
        <f>'CUOTA INDUSTRIAL'!G115</f>
        <v>0</v>
      </c>
      <c r="J146" s="324">
        <f>'CUOTA INDUSTRIAL'!H115</f>
        <v>0</v>
      </c>
      <c r="K146" s="324">
        <f>'CUOTA INDUSTRIAL'!I115</f>
        <v>0</v>
      </c>
      <c r="L146" s="324">
        <f>'CUOTA INDUSTRIAL'!J115</f>
        <v>0</v>
      </c>
      <c r="M146" s="324" t="e">
        <f>'CUOTA INDUSTRIAL'!K115</f>
        <v>#DIV/0!</v>
      </c>
      <c r="N146" s="343" t="s">
        <v>56</v>
      </c>
      <c r="O146" s="322">
        <f>RESUMEN!$B$3</f>
        <v>45481</v>
      </c>
      <c r="P146" s="342">
        <f t="shared" si="6"/>
        <v>2024</v>
      </c>
      <c r="Q146" s="342"/>
    </row>
    <row r="147" spans="1:17" ht="16.5" customHeight="1">
      <c r="A147" s="341" t="s">
        <v>45</v>
      </c>
      <c r="B147" s="342" t="s">
        <v>39</v>
      </c>
      <c r="C147" s="342" t="s">
        <v>19</v>
      </c>
      <c r="D147" s="342" t="s">
        <v>40</v>
      </c>
      <c r="E147" s="231" t="str">
        <f>'CUOTA INDUSTRIAL'!$C$115</f>
        <v>OPERACIONES SANSE SPA</v>
      </c>
      <c r="F147" s="319">
        <v>45566</v>
      </c>
      <c r="G147" s="319">
        <v>45657</v>
      </c>
      <c r="H147" s="324">
        <f>'CUOTA INDUSTRIAL'!F116</f>
        <v>0</v>
      </c>
      <c r="I147" s="324">
        <f>'CUOTA INDUSTRIAL'!G116</f>
        <v>0</v>
      </c>
      <c r="J147" s="324">
        <f>'CUOTA INDUSTRIAL'!H116</f>
        <v>0</v>
      </c>
      <c r="K147" s="324">
        <f>'CUOTA INDUSTRIAL'!I116</f>
        <v>0</v>
      </c>
      <c r="L147" s="324">
        <f>'CUOTA INDUSTRIAL'!J116</f>
        <v>0</v>
      </c>
      <c r="M147" s="324" t="e">
        <f>'CUOTA INDUSTRIAL'!K116</f>
        <v>#DIV/0!</v>
      </c>
      <c r="N147" s="343" t="s">
        <v>56</v>
      </c>
      <c r="O147" s="322">
        <f>RESUMEN!$B$3</f>
        <v>45481</v>
      </c>
      <c r="P147" s="342">
        <f t="shared" ref="P147:P155" si="9">YEAR(O147)</f>
        <v>2024</v>
      </c>
      <c r="Q147" s="342"/>
    </row>
    <row r="148" spans="1:17" ht="16.5" customHeight="1">
      <c r="A148" s="341" t="s">
        <v>45</v>
      </c>
      <c r="B148" s="342" t="s">
        <v>39</v>
      </c>
      <c r="C148" s="342" t="s">
        <v>19</v>
      </c>
      <c r="D148" s="342" t="s">
        <v>40</v>
      </c>
      <c r="E148" s="231" t="str">
        <f>'CUOTA INDUSTRIAL'!$C$115</f>
        <v>OPERACIONES SANSE SPA</v>
      </c>
      <c r="F148" s="343">
        <v>45292</v>
      </c>
      <c r="G148" s="343">
        <v>45657</v>
      </c>
      <c r="H148" s="344">
        <f>'CUOTA INDUSTRIAL'!$L$115</f>
        <v>0</v>
      </c>
      <c r="I148" s="344">
        <f>'CUOTA INDUSTRIAL'!$L$115</f>
        <v>0</v>
      </c>
      <c r="J148" s="344">
        <f>'CUOTA INDUSTRIAL'!$L$115</f>
        <v>0</v>
      </c>
      <c r="K148" s="344">
        <f>'CUOTA INDUSTRIAL'!$L$115</f>
        <v>0</v>
      </c>
      <c r="L148" s="344">
        <f>'CUOTA INDUSTRIAL'!$L$115</f>
        <v>0</v>
      </c>
      <c r="M148" s="344">
        <f>'CUOTA INDUSTRIAL'!$L$115</f>
        <v>0</v>
      </c>
      <c r="N148" s="343" t="s">
        <v>56</v>
      </c>
      <c r="O148" s="345">
        <f>RESUMEN!$B$3</f>
        <v>45481</v>
      </c>
      <c r="P148" s="342">
        <f t="shared" si="9"/>
        <v>2024</v>
      </c>
      <c r="Q148" s="342"/>
    </row>
    <row r="149" spans="1:17" ht="16.5" customHeight="1">
      <c r="A149" s="298" t="s">
        <v>45</v>
      </c>
      <c r="B149" s="299" t="s">
        <v>39</v>
      </c>
      <c r="C149" s="299" t="s">
        <v>19</v>
      </c>
      <c r="D149" s="299" t="s">
        <v>40</v>
      </c>
      <c r="E149" s="222" t="str">
        <f>'CUOTA INDUSTRIAL'!$C$117</f>
        <v>SOCIEDAD PESQUERA GENMAR LIMITADA</v>
      </c>
      <c r="F149" s="223">
        <v>45292</v>
      </c>
      <c r="G149" s="223">
        <v>45565</v>
      </c>
      <c r="H149" s="225">
        <f>'CUOTA INDUSTRIAL'!F117</f>
        <v>0</v>
      </c>
      <c r="I149" s="225">
        <f>'CUOTA INDUSTRIAL'!G117</f>
        <v>52.078000000000003</v>
      </c>
      <c r="J149" s="225">
        <f>'CUOTA INDUSTRIAL'!H117</f>
        <v>52.078000000000003</v>
      </c>
      <c r="K149" s="225">
        <f>'CUOTA INDUSTRIAL'!I117</f>
        <v>0</v>
      </c>
      <c r="L149" s="225">
        <f>'CUOTA INDUSTRIAL'!J117</f>
        <v>52.078000000000003</v>
      </c>
      <c r="M149" s="225">
        <f>'CUOTA INDUSTRIAL'!K117</f>
        <v>0</v>
      </c>
      <c r="N149" s="300" t="s">
        <v>56</v>
      </c>
      <c r="O149" s="224">
        <f>RESUMEN!$B$3</f>
        <v>45481</v>
      </c>
      <c r="P149" s="299">
        <f t="shared" si="9"/>
        <v>2024</v>
      </c>
      <c r="Q149" s="299"/>
    </row>
    <row r="150" spans="1:17" ht="16.5" customHeight="1">
      <c r="A150" s="298" t="s">
        <v>45</v>
      </c>
      <c r="B150" s="299" t="s">
        <v>39</v>
      </c>
      <c r="C150" s="299" t="s">
        <v>19</v>
      </c>
      <c r="D150" s="299" t="s">
        <v>40</v>
      </c>
      <c r="E150" s="222" t="str">
        <f>'CUOTA INDUSTRIAL'!$C$117</f>
        <v>SOCIEDAD PESQUERA GENMAR LIMITADA</v>
      </c>
      <c r="F150" s="223">
        <v>45566</v>
      </c>
      <c r="G150" s="223">
        <v>45657</v>
      </c>
      <c r="H150" s="225">
        <f>'CUOTA INDUSTRIAL'!F118</f>
        <v>0</v>
      </c>
      <c r="I150" s="225">
        <f>'CUOTA INDUSTRIAL'!G118</f>
        <v>0</v>
      </c>
      <c r="J150" s="225">
        <f>'CUOTA INDUSTRIAL'!H118</f>
        <v>0</v>
      </c>
      <c r="K150" s="225">
        <f>'CUOTA INDUSTRIAL'!I118</f>
        <v>0</v>
      </c>
      <c r="L150" s="225">
        <f>'CUOTA INDUSTRIAL'!J118</f>
        <v>0</v>
      </c>
      <c r="M150" s="225" t="e">
        <f>'CUOTA INDUSTRIAL'!K118</f>
        <v>#DIV/0!</v>
      </c>
      <c r="N150" s="300" t="s">
        <v>56</v>
      </c>
      <c r="O150" s="224">
        <f>RESUMEN!$B$3</f>
        <v>45481</v>
      </c>
      <c r="P150" s="299">
        <f t="shared" ref="P150:P154" si="10">YEAR(O150)</f>
        <v>2024</v>
      </c>
      <c r="Q150" s="299"/>
    </row>
    <row r="151" spans="1:17" ht="16.5" customHeight="1">
      <c r="A151" s="298" t="s">
        <v>45</v>
      </c>
      <c r="B151" s="299" t="s">
        <v>39</v>
      </c>
      <c r="C151" s="299" t="s">
        <v>19</v>
      </c>
      <c r="D151" s="299" t="s">
        <v>40</v>
      </c>
      <c r="E151" s="222" t="str">
        <f>'CUOTA INDUSTRIAL'!$C$117</f>
        <v>SOCIEDAD PESQUERA GENMAR LIMITADA</v>
      </c>
      <c r="F151" s="300">
        <v>45292</v>
      </c>
      <c r="G151" s="300">
        <v>45657</v>
      </c>
      <c r="H151" s="297">
        <f>'CUOTA INDUSTRIAL'!$L$117</f>
        <v>0</v>
      </c>
      <c r="I151" s="297">
        <f>'CUOTA INDUSTRIAL'!$L$117</f>
        <v>0</v>
      </c>
      <c r="J151" s="297">
        <f>'CUOTA INDUSTRIAL'!$L$117</f>
        <v>0</v>
      </c>
      <c r="K151" s="297">
        <f>'CUOTA INDUSTRIAL'!$L$117</f>
        <v>0</v>
      </c>
      <c r="L151" s="297">
        <f>'CUOTA INDUSTRIAL'!$L$117</f>
        <v>0</v>
      </c>
      <c r="M151" s="297">
        <f>'CUOTA INDUSTRIAL'!$L$117</f>
        <v>0</v>
      </c>
      <c r="N151" s="300" t="s">
        <v>56</v>
      </c>
      <c r="O151" s="331">
        <f>RESUMEN!$B$3</f>
        <v>45481</v>
      </c>
      <c r="P151" s="299">
        <f t="shared" si="10"/>
        <v>2024</v>
      </c>
      <c r="Q151" s="299"/>
    </row>
    <row r="152" spans="1:17" ht="16.5" customHeight="1">
      <c r="A152" s="332" t="s">
        <v>45</v>
      </c>
      <c r="B152" s="333" t="s">
        <v>39</v>
      </c>
      <c r="C152" s="333" t="s">
        <v>19</v>
      </c>
      <c r="D152" s="333" t="s">
        <v>40</v>
      </c>
      <c r="E152" s="334" t="str">
        <f>'CUOTA INDUSTRIAL'!$C$119</f>
        <v>PELANTARO INOSTROZA CONCHA</v>
      </c>
      <c r="F152" s="335">
        <v>45292</v>
      </c>
      <c r="G152" s="335">
        <v>45565</v>
      </c>
      <c r="H152" s="336">
        <f>'CUOTA INDUSTRIAL'!F119</f>
        <v>0</v>
      </c>
      <c r="I152" s="336">
        <f>'CUOTA INDUSTRIAL'!G119</f>
        <v>78.117000000000004</v>
      </c>
      <c r="J152" s="336">
        <f>'CUOTA INDUSTRIAL'!H119</f>
        <v>78.117000000000004</v>
      </c>
      <c r="K152" s="336">
        <f>'CUOTA INDUSTRIAL'!I119</f>
        <v>0</v>
      </c>
      <c r="L152" s="336">
        <f>'CUOTA INDUSTRIAL'!J119</f>
        <v>78.117000000000004</v>
      </c>
      <c r="M152" s="336">
        <f>'CUOTA INDUSTRIAL'!K119</f>
        <v>0</v>
      </c>
      <c r="N152" s="337" t="s">
        <v>56</v>
      </c>
      <c r="O152" s="338">
        <f>RESUMEN!$B$3</f>
        <v>45481</v>
      </c>
      <c r="P152" s="333">
        <f t="shared" si="10"/>
        <v>2024</v>
      </c>
      <c r="Q152" s="333"/>
    </row>
    <row r="153" spans="1:17" ht="16.5" customHeight="1">
      <c r="A153" s="332" t="s">
        <v>45</v>
      </c>
      <c r="B153" s="333" t="s">
        <v>39</v>
      </c>
      <c r="C153" s="333" t="s">
        <v>19</v>
      </c>
      <c r="D153" s="333" t="s">
        <v>40</v>
      </c>
      <c r="E153" s="334" t="str">
        <f>'CUOTA INDUSTRIAL'!$C$119</f>
        <v>PELANTARO INOSTROZA CONCHA</v>
      </c>
      <c r="F153" s="335">
        <v>45566</v>
      </c>
      <c r="G153" s="335">
        <v>45657</v>
      </c>
      <c r="H153" s="336">
        <f>'CUOTA INDUSTRIAL'!F120</f>
        <v>0</v>
      </c>
      <c r="I153" s="336">
        <f>'CUOTA INDUSTRIAL'!G120</f>
        <v>0</v>
      </c>
      <c r="J153" s="336">
        <f>'CUOTA INDUSTRIAL'!H120</f>
        <v>0</v>
      </c>
      <c r="K153" s="336">
        <f>'CUOTA INDUSTRIAL'!I120</f>
        <v>0</v>
      </c>
      <c r="L153" s="336">
        <f>'CUOTA INDUSTRIAL'!J120</f>
        <v>0</v>
      </c>
      <c r="M153" s="336" t="e">
        <f>'CUOTA INDUSTRIAL'!K120</f>
        <v>#DIV/0!</v>
      </c>
      <c r="N153" s="337" t="s">
        <v>56</v>
      </c>
      <c r="O153" s="338">
        <f>RESUMEN!$B$3</f>
        <v>45481</v>
      </c>
      <c r="P153" s="333">
        <f t="shared" si="10"/>
        <v>2024</v>
      </c>
      <c r="Q153" s="333"/>
    </row>
    <row r="154" spans="1:17" ht="16.5" customHeight="1">
      <c r="A154" s="332" t="s">
        <v>45</v>
      </c>
      <c r="B154" s="333" t="s">
        <v>39</v>
      </c>
      <c r="C154" s="333" t="s">
        <v>19</v>
      </c>
      <c r="D154" s="333" t="s">
        <v>40</v>
      </c>
      <c r="E154" s="334" t="str">
        <f>'CUOTA INDUSTRIAL'!$C$119</f>
        <v>PELANTARO INOSTROZA CONCHA</v>
      </c>
      <c r="F154" s="337">
        <v>45292</v>
      </c>
      <c r="G154" s="337">
        <v>45657</v>
      </c>
      <c r="H154" s="339">
        <f>'CUOTA INDUSTRIAL'!$L$119</f>
        <v>0</v>
      </c>
      <c r="I154" s="339">
        <f>'CUOTA INDUSTRIAL'!$L$119</f>
        <v>0</v>
      </c>
      <c r="J154" s="339">
        <f>'CUOTA INDUSTRIAL'!$L$119</f>
        <v>0</v>
      </c>
      <c r="K154" s="339">
        <f>'CUOTA INDUSTRIAL'!$L$119</f>
        <v>0</v>
      </c>
      <c r="L154" s="339">
        <f>'CUOTA INDUSTRIAL'!$L$119</f>
        <v>0</v>
      </c>
      <c r="M154" s="339">
        <f>'CUOTA INDUSTRIAL'!$L$119</f>
        <v>0</v>
      </c>
      <c r="N154" s="337" t="s">
        <v>56</v>
      </c>
      <c r="O154" s="340">
        <f>RESUMEN!$B$3</f>
        <v>45481</v>
      </c>
      <c r="P154" s="333">
        <f t="shared" si="10"/>
        <v>2024</v>
      </c>
      <c r="Q154" s="333"/>
    </row>
    <row r="155" spans="1:17">
      <c r="A155" s="2" t="s">
        <v>46</v>
      </c>
      <c r="B155" s="1" t="s">
        <v>39</v>
      </c>
      <c r="C155" s="1" t="s">
        <v>21</v>
      </c>
      <c r="D155" s="1" t="s">
        <v>40</v>
      </c>
      <c r="E155" s="1" t="str">
        <f>+'CUOTA INDUSTRIAL'!C$127</f>
        <v>ALIMENTOS MARINOS S.A.</v>
      </c>
      <c r="F155" s="4">
        <v>45292</v>
      </c>
      <c r="G155" s="4">
        <v>45565</v>
      </c>
      <c r="H155" s="3">
        <f>+'CUOTA INDUSTRIAL'!F127</f>
        <v>6375.933</v>
      </c>
      <c r="I155" s="3">
        <f>'CUOTA INDUSTRIAL'!G127</f>
        <v>-6094</v>
      </c>
      <c r="J155" s="3">
        <f>'CUOTA INDUSTRIAL'!H127</f>
        <v>281.93299999999999</v>
      </c>
      <c r="K155" s="3">
        <f>'CUOTA INDUSTRIAL'!I127</f>
        <v>989.06600000000003</v>
      </c>
      <c r="L155" s="3">
        <f>'CUOTA INDUSTRIAL'!J127</f>
        <v>-707.13300000000004</v>
      </c>
      <c r="M155" s="249">
        <f>'CUOTA INDUSTRIAL'!K127</f>
        <v>3.5081597400800901</v>
      </c>
      <c r="N155" s="4" t="s">
        <v>56</v>
      </c>
      <c r="O155" s="5">
        <f>RESUMEN!$B$3</f>
        <v>45481</v>
      </c>
      <c r="P155" s="1">
        <f t="shared" si="9"/>
        <v>2024</v>
      </c>
      <c r="Q155" s="1"/>
    </row>
    <row r="156" spans="1:17">
      <c r="A156" s="22" t="s">
        <v>46</v>
      </c>
      <c r="B156" s="23" t="s">
        <v>39</v>
      </c>
      <c r="C156" s="23" t="s">
        <v>21</v>
      </c>
      <c r="D156" s="23" t="s">
        <v>40</v>
      </c>
      <c r="E156" s="23" t="str">
        <f>+'CUOTA INDUSTRIAL'!C$127</f>
        <v>ALIMENTOS MARINOS S.A.</v>
      </c>
      <c r="F156" s="4">
        <v>45566</v>
      </c>
      <c r="G156" s="4">
        <v>45657</v>
      </c>
      <c r="H156" s="3">
        <f>+'CUOTA INDUSTRIAL'!F128</f>
        <v>708.41499999999996</v>
      </c>
      <c r="I156" s="3">
        <f>'CUOTA INDUSTRIAL'!G128</f>
        <v>0</v>
      </c>
      <c r="J156" s="3">
        <f>'CUOTA INDUSTRIAL'!H128</f>
        <v>1.2819999999999254</v>
      </c>
      <c r="K156" s="3">
        <f>'CUOTA INDUSTRIAL'!I128</f>
        <v>0</v>
      </c>
      <c r="L156" s="3">
        <f>'CUOTA INDUSTRIAL'!J128</f>
        <v>1.2819999999999254</v>
      </c>
      <c r="M156" s="249">
        <f>'CUOTA INDUSTRIAL'!K128</f>
        <v>0</v>
      </c>
      <c r="N156" s="4" t="s">
        <v>56</v>
      </c>
      <c r="O156" s="5">
        <f>RESUMEN!$B$3</f>
        <v>45481</v>
      </c>
      <c r="P156" s="1">
        <f t="shared" ref="P156:P201" si="11">YEAR(O156)</f>
        <v>2024</v>
      </c>
      <c r="Q156" s="1"/>
    </row>
    <row r="157" spans="1:17">
      <c r="A157" s="22" t="s">
        <v>46</v>
      </c>
      <c r="B157" s="23" t="s">
        <v>39</v>
      </c>
      <c r="C157" s="23" t="s">
        <v>21</v>
      </c>
      <c r="D157" s="23" t="s">
        <v>40</v>
      </c>
      <c r="E157" s="23" t="str">
        <f>+'CUOTA INDUSTRIAL'!C$127</f>
        <v>ALIMENTOS MARINOS S.A.</v>
      </c>
      <c r="F157" s="4">
        <v>45292</v>
      </c>
      <c r="G157" s="4">
        <v>45657</v>
      </c>
      <c r="H157" s="3">
        <f>'CUOTA INDUSTRIAL'!$L$127</f>
        <v>7084.348</v>
      </c>
      <c r="I157" s="3">
        <f>+'CUOTA INDUSTRIAL'!M127</f>
        <v>-6094</v>
      </c>
      <c r="J157" s="3">
        <f>+'CUOTA INDUSTRIAL'!N127</f>
        <v>990.34799999999996</v>
      </c>
      <c r="K157" s="3">
        <f>+'CUOTA INDUSTRIAL'!O127</f>
        <v>989.06600000000003</v>
      </c>
      <c r="L157" s="3">
        <f>+'CUOTA INDUSTRIAL'!P127</f>
        <v>1.2819999999999254</v>
      </c>
      <c r="M157" s="249">
        <f>+'CUOTA INDUSTRIAL'!Q127</f>
        <v>0.99870550553946702</v>
      </c>
      <c r="N157" s="4" t="s">
        <v>56</v>
      </c>
      <c r="O157" s="5">
        <f>RESUMEN!$B$3</f>
        <v>45481</v>
      </c>
      <c r="P157" s="1">
        <f t="shared" si="11"/>
        <v>2024</v>
      </c>
      <c r="Q157" s="1"/>
    </row>
    <row r="158" spans="1:17">
      <c r="A158" s="22" t="s">
        <v>46</v>
      </c>
      <c r="B158" s="23" t="s">
        <v>39</v>
      </c>
      <c r="C158" s="23" t="s">
        <v>21</v>
      </c>
      <c r="D158" s="23" t="s">
        <v>40</v>
      </c>
      <c r="E158" s="1" t="str">
        <f>+'CUOTA INDUSTRIAL'!C$129</f>
        <v>BAHIA CALDERA S.A. PESQ.</v>
      </c>
      <c r="F158" s="4">
        <v>45292</v>
      </c>
      <c r="G158" s="4">
        <v>45565</v>
      </c>
      <c r="H158" s="24">
        <f>+'CUOTA INDUSTRIAL'!F129</f>
        <v>56.38</v>
      </c>
      <c r="I158" s="24">
        <f>'CUOTA INDUSTRIAL'!G129</f>
        <v>0</v>
      </c>
      <c r="J158" s="24">
        <f>'CUOTA INDUSTRIAL'!H129</f>
        <v>56.38</v>
      </c>
      <c r="K158" s="24">
        <f>'CUOTA INDUSTRIAL'!I129</f>
        <v>0</v>
      </c>
      <c r="L158" s="24">
        <f>'CUOTA INDUSTRIAL'!J129</f>
        <v>56.38</v>
      </c>
      <c r="M158" s="251">
        <f>'CUOTA INDUSTRIAL'!K129</f>
        <v>0</v>
      </c>
      <c r="N158" s="25" t="s">
        <v>56</v>
      </c>
      <c r="O158" s="26">
        <f>RESUMEN!$B$3</f>
        <v>45481</v>
      </c>
      <c r="P158" s="23">
        <f t="shared" si="11"/>
        <v>2024</v>
      </c>
      <c r="Q158" s="1"/>
    </row>
    <row r="159" spans="1:17">
      <c r="A159" s="22" t="s">
        <v>46</v>
      </c>
      <c r="B159" s="23" t="s">
        <v>39</v>
      </c>
      <c r="C159" s="23" t="s">
        <v>21</v>
      </c>
      <c r="D159" s="23" t="s">
        <v>40</v>
      </c>
      <c r="E159" s="1" t="str">
        <f>+'CUOTA INDUSTRIAL'!C$129</f>
        <v>BAHIA CALDERA S.A. PESQ.</v>
      </c>
      <c r="F159" s="4">
        <v>45566</v>
      </c>
      <c r="G159" s="4">
        <v>45657</v>
      </c>
      <c r="H159" s="24">
        <f>+'CUOTA INDUSTRIAL'!F130</f>
        <v>6.2640000000000002</v>
      </c>
      <c r="I159" s="24">
        <f>'CUOTA INDUSTRIAL'!G130</f>
        <v>0</v>
      </c>
      <c r="J159" s="24">
        <f>'CUOTA INDUSTRIAL'!H130</f>
        <v>62.644000000000005</v>
      </c>
      <c r="K159" s="24">
        <f>'CUOTA INDUSTRIAL'!I130</f>
        <v>0</v>
      </c>
      <c r="L159" s="24">
        <f>'CUOTA INDUSTRIAL'!J130</f>
        <v>62.644000000000005</v>
      </c>
      <c r="M159" s="251">
        <f>'CUOTA INDUSTRIAL'!K130</f>
        <v>0</v>
      </c>
      <c r="N159" s="25" t="s">
        <v>56</v>
      </c>
      <c r="O159" s="26">
        <f>RESUMEN!$B$3</f>
        <v>45481</v>
      </c>
      <c r="P159" s="23">
        <f t="shared" si="11"/>
        <v>2024</v>
      </c>
      <c r="Q159" s="1"/>
    </row>
    <row r="160" spans="1:17">
      <c r="A160" s="22" t="s">
        <v>46</v>
      </c>
      <c r="B160" s="23" t="s">
        <v>39</v>
      </c>
      <c r="C160" s="23" t="s">
        <v>21</v>
      </c>
      <c r="D160" s="23" t="s">
        <v>40</v>
      </c>
      <c r="E160" s="1" t="str">
        <f>+'CUOTA INDUSTRIAL'!C$129</f>
        <v>BAHIA CALDERA S.A. PESQ.</v>
      </c>
      <c r="F160" s="4">
        <v>45292</v>
      </c>
      <c r="G160" s="4">
        <v>45657</v>
      </c>
      <c r="H160" s="24">
        <f>'CUOTA INDUSTRIAL'!$L$129</f>
        <v>62.644000000000005</v>
      </c>
      <c r="I160" s="3">
        <f>+'CUOTA INDUSTRIAL'!M129</f>
        <v>0</v>
      </c>
      <c r="J160" s="3">
        <f>+'CUOTA INDUSTRIAL'!N129</f>
        <v>62.644000000000005</v>
      </c>
      <c r="K160" s="3">
        <f>+'CUOTA INDUSTRIAL'!O129</f>
        <v>0</v>
      </c>
      <c r="L160" s="3">
        <f>+'CUOTA INDUSTRIAL'!P129</f>
        <v>62.644000000000005</v>
      </c>
      <c r="M160" s="249">
        <f>+'CUOTA INDUSTRIAL'!Q129</f>
        <v>0</v>
      </c>
      <c r="N160" s="25" t="s">
        <v>56</v>
      </c>
      <c r="O160" s="26">
        <f>RESUMEN!$B$3</f>
        <v>45481</v>
      </c>
      <c r="P160" s="23">
        <f t="shared" si="11"/>
        <v>2024</v>
      </c>
      <c r="Q160" s="1"/>
    </row>
    <row r="161" spans="1:17">
      <c r="A161" s="22" t="s">
        <v>46</v>
      </c>
      <c r="B161" s="23" t="s">
        <v>39</v>
      </c>
      <c r="C161" s="23" t="s">
        <v>21</v>
      </c>
      <c r="D161" s="23" t="s">
        <v>40</v>
      </c>
      <c r="E161" s="1" t="str">
        <f>+'CUOTA INDUSTRIAL'!C$131</f>
        <v>BLUMAR S.A.</v>
      </c>
      <c r="F161" s="4">
        <v>45292</v>
      </c>
      <c r="G161" s="4">
        <v>45565</v>
      </c>
      <c r="H161" s="24">
        <f>+'CUOTA INDUSTRIAL'!F131</f>
        <v>13580.037</v>
      </c>
      <c r="I161" s="24">
        <f>'CUOTA INDUSTRIAL'!G131</f>
        <v>-3034.8110000000001</v>
      </c>
      <c r="J161" s="24">
        <f>'CUOTA INDUSTRIAL'!H131</f>
        <v>10545.226000000001</v>
      </c>
      <c r="K161" s="24">
        <f>'CUOTA INDUSTRIAL'!I131</f>
        <v>3971.4119999999998</v>
      </c>
      <c r="L161" s="24">
        <f>'CUOTA INDUSTRIAL'!J131</f>
        <v>6573.8140000000003</v>
      </c>
      <c r="M161" s="251">
        <f>'CUOTA INDUSTRIAL'!K131</f>
        <v>0.37660757578832349</v>
      </c>
      <c r="N161" s="25" t="s">
        <v>56</v>
      </c>
      <c r="O161" s="26">
        <f>RESUMEN!$B$3</f>
        <v>45481</v>
      </c>
      <c r="P161" s="23">
        <f t="shared" si="11"/>
        <v>2024</v>
      </c>
      <c r="Q161" s="1"/>
    </row>
    <row r="162" spans="1:17">
      <c r="A162" s="22" t="s">
        <v>46</v>
      </c>
      <c r="B162" s="23" t="s">
        <v>39</v>
      </c>
      <c r="C162" s="23" t="s">
        <v>21</v>
      </c>
      <c r="D162" s="23" t="s">
        <v>40</v>
      </c>
      <c r="E162" s="1" t="str">
        <f>+'CUOTA INDUSTRIAL'!C$131</f>
        <v>BLUMAR S.A.</v>
      </c>
      <c r="F162" s="4">
        <v>45566</v>
      </c>
      <c r="G162" s="4">
        <v>45657</v>
      </c>
      <c r="H162" s="24">
        <f>+'CUOTA INDUSTRIAL'!F132</f>
        <v>1508.847</v>
      </c>
      <c r="I162" s="24">
        <f>'CUOTA INDUSTRIAL'!G132</f>
        <v>0</v>
      </c>
      <c r="J162" s="24">
        <f>'CUOTA INDUSTRIAL'!H132</f>
        <v>8082.6610000000001</v>
      </c>
      <c r="K162" s="24">
        <f>'CUOTA INDUSTRIAL'!I132</f>
        <v>0</v>
      </c>
      <c r="L162" s="24">
        <f>'CUOTA INDUSTRIAL'!J132</f>
        <v>8082.6610000000001</v>
      </c>
      <c r="M162" s="251">
        <f>'CUOTA INDUSTRIAL'!K132</f>
        <v>0</v>
      </c>
      <c r="N162" s="25" t="s">
        <v>56</v>
      </c>
      <c r="O162" s="26">
        <f>RESUMEN!$B$3</f>
        <v>45481</v>
      </c>
      <c r="P162" s="23">
        <f t="shared" si="11"/>
        <v>2024</v>
      </c>
      <c r="Q162" s="1"/>
    </row>
    <row r="163" spans="1:17">
      <c r="A163" s="22" t="s">
        <v>46</v>
      </c>
      <c r="B163" s="23" t="s">
        <v>39</v>
      </c>
      <c r="C163" s="23" t="s">
        <v>21</v>
      </c>
      <c r="D163" s="23" t="s">
        <v>40</v>
      </c>
      <c r="E163" s="1" t="str">
        <f>+'CUOTA INDUSTRIAL'!C$131</f>
        <v>BLUMAR S.A.</v>
      </c>
      <c r="F163" s="4">
        <v>45292</v>
      </c>
      <c r="G163" s="4">
        <v>45657</v>
      </c>
      <c r="H163" s="24">
        <f>'CUOTA INDUSTRIAL'!$L$131</f>
        <v>15088.884</v>
      </c>
      <c r="I163" s="3">
        <f>+'CUOTA INDUSTRIAL'!M131</f>
        <v>-3034.8110000000001</v>
      </c>
      <c r="J163" s="3">
        <f>+'CUOTA INDUSTRIAL'!N131</f>
        <v>12054.073</v>
      </c>
      <c r="K163" s="3">
        <f>+'CUOTA INDUSTRIAL'!O131</f>
        <v>3971.4119999999998</v>
      </c>
      <c r="L163" s="3">
        <f>+'CUOTA INDUSTRIAL'!P131</f>
        <v>8082.6610000000001</v>
      </c>
      <c r="M163" s="249">
        <f>+'CUOTA INDUSTRIAL'!Q131</f>
        <v>0.32946639695976621</v>
      </c>
      <c r="N163" s="25" t="s">
        <v>56</v>
      </c>
      <c r="O163" s="26">
        <f>RESUMEN!$B$3</f>
        <v>45481</v>
      </c>
      <c r="P163" s="23">
        <f t="shared" si="11"/>
        <v>2024</v>
      </c>
      <c r="Q163" s="1"/>
    </row>
    <row r="164" spans="1:17">
      <c r="A164" s="22" t="s">
        <v>46</v>
      </c>
      <c r="B164" s="23" t="s">
        <v>39</v>
      </c>
      <c r="C164" s="23" t="s">
        <v>21</v>
      </c>
      <c r="D164" s="23" t="s">
        <v>40</v>
      </c>
      <c r="E164" s="1" t="str">
        <f>+'CUOTA INDUSTRIAL'!C$133</f>
        <v>CAMANCHACA PESCA SUR S.A.</v>
      </c>
      <c r="F164" s="4">
        <v>45292</v>
      </c>
      <c r="G164" s="4">
        <v>45565</v>
      </c>
      <c r="H164" s="24">
        <f>+'CUOTA INDUSTRIAL'!F133</f>
        <v>9332.9770000000008</v>
      </c>
      <c r="I164" s="24">
        <f>'CUOTA INDUSTRIAL'!G133</f>
        <v>-8759.5859999999993</v>
      </c>
      <c r="J164" s="24">
        <f>'CUOTA INDUSTRIAL'!H133</f>
        <v>573.39100000000144</v>
      </c>
      <c r="K164" s="24">
        <f>'CUOTA INDUSTRIAL'!I133</f>
        <v>1607.97</v>
      </c>
      <c r="L164" s="24">
        <f>'CUOTA INDUSTRIAL'!J133</f>
        <v>-1034.5789999999986</v>
      </c>
      <c r="M164" s="251">
        <f>'CUOTA INDUSTRIAL'!K133</f>
        <v>2.804316775115054</v>
      </c>
      <c r="N164" s="25" t="s">
        <v>56</v>
      </c>
      <c r="O164" s="26">
        <f>RESUMEN!$B$3</f>
        <v>45481</v>
      </c>
      <c r="P164" s="23">
        <f t="shared" si="11"/>
        <v>2024</v>
      </c>
      <c r="Q164" s="1"/>
    </row>
    <row r="165" spans="1:17">
      <c r="A165" s="22" t="s">
        <v>46</v>
      </c>
      <c r="B165" s="23" t="s">
        <v>39</v>
      </c>
      <c r="C165" s="23" t="s">
        <v>21</v>
      </c>
      <c r="D165" s="23" t="s">
        <v>40</v>
      </c>
      <c r="E165" s="1" t="str">
        <f>+'CUOTA INDUSTRIAL'!C$133</f>
        <v>CAMANCHACA PESCA SUR S.A.</v>
      </c>
      <c r="F165" s="4">
        <v>45566</v>
      </c>
      <c r="G165" s="4">
        <v>45657</v>
      </c>
      <c r="H165" s="24">
        <f>+'CUOTA INDUSTRIAL'!F134</f>
        <v>1036.9659999999999</v>
      </c>
      <c r="I165" s="24">
        <f>'CUOTA INDUSTRIAL'!G134</f>
        <v>0</v>
      </c>
      <c r="J165" s="24">
        <f>'CUOTA INDUSTRIAL'!H134</f>
        <v>2.3870000000013079</v>
      </c>
      <c r="K165" s="24">
        <f>'CUOTA INDUSTRIAL'!I134</f>
        <v>0</v>
      </c>
      <c r="L165" s="24">
        <f>'CUOTA INDUSTRIAL'!J134</f>
        <v>2.3870000000013079</v>
      </c>
      <c r="M165" s="251">
        <f>'CUOTA INDUSTRIAL'!K134</f>
        <v>0</v>
      </c>
      <c r="N165" s="25" t="s">
        <v>56</v>
      </c>
      <c r="O165" s="26">
        <f>RESUMEN!$B$3</f>
        <v>45481</v>
      </c>
      <c r="P165" s="23">
        <f t="shared" si="11"/>
        <v>2024</v>
      </c>
      <c r="Q165" s="1"/>
    </row>
    <row r="166" spans="1:17">
      <c r="A166" s="22" t="s">
        <v>46</v>
      </c>
      <c r="B166" s="23" t="s">
        <v>39</v>
      </c>
      <c r="C166" s="23" t="s">
        <v>21</v>
      </c>
      <c r="D166" s="23" t="s">
        <v>40</v>
      </c>
      <c r="E166" s="1" t="str">
        <f>+'CUOTA INDUSTRIAL'!C$133</f>
        <v>CAMANCHACA PESCA SUR S.A.</v>
      </c>
      <c r="F166" s="4">
        <v>45292</v>
      </c>
      <c r="G166" s="4">
        <v>45657</v>
      </c>
      <c r="H166" s="24">
        <f>'CUOTA INDUSTRIAL'!$L$133</f>
        <v>10369.943000000001</v>
      </c>
      <c r="I166" s="3">
        <f>+'CUOTA INDUSTRIAL'!M133</f>
        <v>-8759.5859999999993</v>
      </c>
      <c r="J166" s="3">
        <f>+'CUOTA INDUSTRIAL'!N133</f>
        <v>1610.3570000000018</v>
      </c>
      <c r="K166" s="3">
        <f>+'CUOTA INDUSTRIAL'!O133</f>
        <v>1607.97</v>
      </c>
      <c r="L166" s="3">
        <f>+'CUOTA INDUSTRIAL'!P133</f>
        <v>2.3870000000017626</v>
      </c>
      <c r="M166" s="249">
        <f>+'CUOTA INDUSTRIAL'!Q133</f>
        <v>0.99851771998382854</v>
      </c>
      <c r="N166" s="25" t="s">
        <v>56</v>
      </c>
      <c r="O166" s="26">
        <f>RESUMEN!$B$3</f>
        <v>45481</v>
      </c>
      <c r="P166" s="23">
        <f t="shared" si="11"/>
        <v>2024</v>
      </c>
      <c r="Q166" s="1"/>
    </row>
    <row r="167" spans="1:17">
      <c r="A167" s="22" t="s">
        <v>46</v>
      </c>
      <c r="B167" s="23" t="s">
        <v>39</v>
      </c>
      <c r="C167" s="23" t="s">
        <v>21</v>
      </c>
      <c r="D167" s="23" t="s">
        <v>40</v>
      </c>
      <c r="E167" s="1" t="str">
        <f>+'CUOTA INDUSTRIAL'!C$135</f>
        <v>DELTA INVERSIONES SpA</v>
      </c>
      <c r="F167" s="4">
        <v>45292</v>
      </c>
      <c r="G167" s="4">
        <v>45565</v>
      </c>
      <c r="H167" s="24">
        <f>+'CUOTA INDUSTRIAL'!F135</f>
        <v>369.55900000000003</v>
      </c>
      <c r="I167" s="24">
        <f>'CUOTA INDUSTRIAL'!G135</f>
        <v>-410.62</v>
      </c>
      <c r="J167" s="24">
        <f>'CUOTA INDUSTRIAL'!H135</f>
        <v>-41.060999999999979</v>
      </c>
      <c r="K167" s="24">
        <f>'CUOTA INDUSTRIAL'!I135</f>
        <v>0</v>
      </c>
      <c r="L167" s="24">
        <f>'CUOTA INDUSTRIAL'!J135</f>
        <v>-41.060999999999979</v>
      </c>
      <c r="M167" s="251">
        <f>'CUOTA INDUSTRIAL'!K135</f>
        <v>0</v>
      </c>
      <c r="N167" s="25" t="s">
        <v>56</v>
      </c>
      <c r="O167" s="26">
        <f>RESUMEN!$B$3</f>
        <v>45481</v>
      </c>
      <c r="P167" s="23">
        <f t="shared" si="11"/>
        <v>2024</v>
      </c>
      <c r="Q167" s="1"/>
    </row>
    <row r="168" spans="1:17">
      <c r="A168" s="22" t="s">
        <v>46</v>
      </c>
      <c r="B168" s="23" t="s">
        <v>39</v>
      </c>
      <c r="C168" s="23" t="s">
        <v>21</v>
      </c>
      <c r="D168" s="23" t="s">
        <v>40</v>
      </c>
      <c r="E168" s="1" t="str">
        <f>+'CUOTA INDUSTRIAL'!C$135</f>
        <v>DELTA INVERSIONES SpA</v>
      </c>
      <c r="F168" s="4">
        <v>45566</v>
      </c>
      <c r="G168" s="4">
        <v>45657</v>
      </c>
      <c r="H168" s="24">
        <f>+'CUOTA INDUSTRIAL'!F136</f>
        <v>41.061</v>
      </c>
      <c r="I168" s="24">
        <f>'CUOTA INDUSTRIAL'!G136</f>
        <v>0</v>
      </c>
      <c r="J168" s="24">
        <f>'CUOTA INDUSTRIAL'!H136</f>
        <v>0</v>
      </c>
      <c r="K168" s="24">
        <f>'CUOTA INDUSTRIAL'!I136</f>
        <v>0</v>
      </c>
      <c r="L168" s="24">
        <f>'CUOTA INDUSTRIAL'!J136</f>
        <v>0</v>
      </c>
      <c r="M168" s="251">
        <f>'CUOTA INDUSTRIAL'!K136</f>
        <v>0</v>
      </c>
      <c r="N168" s="25" t="s">
        <v>56</v>
      </c>
      <c r="O168" s="26">
        <f>RESUMEN!$B$3</f>
        <v>45481</v>
      </c>
      <c r="P168" s="23">
        <f t="shared" si="11"/>
        <v>2024</v>
      </c>
      <c r="Q168" s="1"/>
    </row>
    <row r="169" spans="1:17">
      <c r="A169" s="22" t="s">
        <v>46</v>
      </c>
      <c r="B169" s="23" t="s">
        <v>39</v>
      </c>
      <c r="C169" s="23" t="s">
        <v>21</v>
      </c>
      <c r="D169" s="23" t="s">
        <v>40</v>
      </c>
      <c r="E169" s="1" t="str">
        <f>+'CUOTA INDUSTRIAL'!C$135</f>
        <v>DELTA INVERSIONES SpA</v>
      </c>
      <c r="F169" s="4">
        <v>45292</v>
      </c>
      <c r="G169" s="4">
        <v>45657</v>
      </c>
      <c r="H169" s="24">
        <f>'CUOTA INDUSTRIAL'!$L$135</f>
        <v>410.62</v>
      </c>
      <c r="I169" s="3">
        <f>+'CUOTA INDUSTRIAL'!M135</f>
        <v>-410.62</v>
      </c>
      <c r="J169" s="3">
        <f>+'CUOTA INDUSTRIAL'!N135</f>
        <v>0</v>
      </c>
      <c r="K169" s="3">
        <f>+'CUOTA INDUSTRIAL'!O135</f>
        <v>0</v>
      </c>
      <c r="L169" s="3">
        <f>+'CUOTA INDUSTRIAL'!P135</f>
        <v>0</v>
      </c>
      <c r="M169" s="249" t="e">
        <f>+'CUOTA INDUSTRIAL'!Q135</f>
        <v>#DIV/0!</v>
      </c>
      <c r="N169" s="25" t="s">
        <v>56</v>
      </c>
      <c r="O169" s="26">
        <f>RESUMEN!$B$3</f>
        <v>45481</v>
      </c>
      <c r="P169" s="23">
        <f t="shared" si="11"/>
        <v>2024</v>
      </c>
      <c r="Q169" s="1"/>
    </row>
    <row r="170" spans="1:17">
      <c r="A170" s="22" t="s">
        <v>46</v>
      </c>
      <c r="B170" s="23" t="s">
        <v>39</v>
      </c>
      <c r="C170" s="23" t="s">
        <v>21</v>
      </c>
      <c r="D170" s="23" t="s">
        <v>40</v>
      </c>
      <c r="E170" s="1" t="str">
        <f>+'CUOTA INDUSTRIAL'!C$137</f>
        <v>FOODCORP CHILE S.A.</v>
      </c>
      <c r="F170" s="4">
        <v>45292</v>
      </c>
      <c r="G170" s="4">
        <v>45565</v>
      </c>
      <c r="H170" s="24">
        <f>+'CUOTA INDUSTRIAL'!F137</f>
        <v>6510.5190000000002</v>
      </c>
      <c r="I170" s="24">
        <f>'CUOTA INDUSTRIAL'!G137</f>
        <v>543.91499999999996</v>
      </c>
      <c r="J170" s="24">
        <f>'CUOTA INDUSTRIAL'!H137</f>
        <v>7054.4340000000002</v>
      </c>
      <c r="K170" s="24">
        <f>'CUOTA INDUSTRIAL'!I137</f>
        <v>2133.9140000000002</v>
      </c>
      <c r="L170" s="24">
        <f>'CUOTA INDUSTRIAL'!J137</f>
        <v>4920.5200000000004</v>
      </c>
      <c r="M170" s="251">
        <f>'CUOTA INDUSTRIAL'!K137</f>
        <v>0.30249258834939841</v>
      </c>
      <c r="N170" s="25" t="s">
        <v>56</v>
      </c>
      <c r="O170" s="26">
        <f>RESUMEN!$B$3</f>
        <v>45481</v>
      </c>
      <c r="P170" s="23">
        <f t="shared" si="11"/>
        <v>2024</v>
      </c>
      <c r="Q170" s="1"/>
    </row>
    <row r="171" spans="1:17">
      <c r="A171" s="22" t="s">
        <v>46</v>
      </c>
      <c r="B171" s="23" t="s">
        <v>39</v>
      </c>
      <c r="C171" s="23" t="s">
        <v>21</v>
      </c>
      <c r="D171" s="23" t="s">
        <v>40</v>
      </c>
      <c r="E171" s="1" t="str">
        <f>+'CUOTA INDUSTRIAL'!C$137</f>
        <v>FOODCORP CHILE S.A.</v>
      </c>
      <c r="F171" s="4">
        <v>45566</v>
      </c>
      <c r="G171" s="4">
        <v>45657</v>
      </c>
      <c r="H171" s="24">
        <f>+'CUOTA INDUSTRIAL'!F138</f>
        <v>723.36900000000003</v>
      </c>
      <c r="I171" s="24">
        <f>'CUOTA INDUSTRIAL'!G138</f>
        <v>0</v>
      </c>
      <c r="J171" s="24">
        <f>'CUOTA INDUSTRIAL'!H138</f>
        <v>5643.8890000000001</v>
      </c>
      <c r="K171" s="24">
        <f>'CUOTA INDUSTRIAL'!I138</f>
        <v>0</v>
      </c>
      <c r="L171" s="24">
        <f>'CUOTA INDUSTRIAL'!J138</f>
        <v>5643.8890000000001</v>
      </c>
      <c r="M171" s="251">
        <f>'CUOTA INDUSTRIAL'!K138</f>
        <v>0</v>
      </c>
      <c r="N171" s="25" t="s">
        <v>56</v>
      </c>
      <c r="O171" s="26">
        <f>RESUMEN!$B$3</f>
        <v>45481</v>
      </c>
      <c r="P171" s="23">
        <f t="shared" si="11"/>
        <v>2024</v>
      </c>
      <c r="Q171" s="1"/>
    </row>
    <row r="172" spans="1:17">
      <c r="A172" s="22" t="s">
        <v>46</v>
      </c>
      <c r="B172" s="23" t="s">
        <v>39</v>
      </c>
      <c r="C172" s="23" t="s">
        <v>21</v>
      </c>
      <c r="D172" s="23" t="s">
        <v>40</v>
      </c>
      <c r="E172" s="1" t="str">
        <f>+'CUOTA INDUSTRIAL'!C$137</f>
        <v>FOODCORP CHILE S.A.</v>
      </c>
      <c r="F172" s="4">
        <v>45292</v>
      </c>
      <c r="G172" s="4">
        <v>45657</v>
      </c>
      <c r="H172" s="24">
        <f>'CUOTA INDUSTRIAL'!$L$137</f>
        <v>7233.8879999999999</v>
      </c>
      <c r="I172" s="3">
        <f>+'CUOTA INDUSTRIAL'!M137</f>
        <v>543.91499999999996</v>
      </c>
      <c r="J172" s="3">
        <f>+'CUOTA INDUSTRIAL'!N137</f>
        <v>7777.8029999999999</v>
      </c>
      <c r="K172" s="3">
        <f>+'CUOTA INDUSTRIAL'!O137</f>
        <v>2133.9140000000002</v>
      </c>
      <c r="L172" s="3">
        <f>+'CUOTA INDUSTRIAL'!P137</f>
        <v>5643.8889999999992</v>
      </c>
      <c r="M172" s="249">
        <f>+'CUOTA INDUSTRIAL'!Q137</f>
        <v>0.27435948171996644</v>
      </c>
      <c r="N172" s="25" t="s">
        <v>56</v>
      </c>
      <c r="O172" s="26">
        <f>RESUMEN!$B$3</f>
        <v>45481</v>
      </c>
      <c r="P172" s="23">
        <f t="shared" si="11"/>
        <v>2024</v>
      </c>
      <c r="Q172" s="1"/>
    </row>
    <row r="173" spans="1:17">
      <c r="A173" s="22" t="s">
        <v>46</v>
      </c>
      <c r="B173" s="23" t="s">
        <v>39</v>
      </c>
      <c r="C173" s="23" t="s">
        <v>21</v>
      </c>
      <c r="D173" s="23" t="s">
        <v>40</v>
      </c>
      <c r="E173" s="1" t="str">
        <f>+'CUOTA INDUSTRIAL'!C$139</f>
        <v>LANDES S.A. SOC. PESQ.</v>
      </c>
      <c r="F173" s="4">
        <v>45292</v>
      </c>
      <c r="G173" s="4">
        <v>45565</v>
      </c>
      <c r="H173" s="24">
        <f>+'CUOTA INDUSTRIAL'!F139</f>
        <v>6263.4719999999998</v>
      </c>
      <c r="I173" s="24">
        <f>'CUOTA INDUSTRIAL'!G139</f>
        <v>-4029.7939999999999</v>
      </c>
      <c r="J173" s="24">
        <f>'CUOTA INDUSTRIAL'!H139</f>
        <v>2233.6779999999999</v>
      </c>
      <c r="K173" s="24">
        <f>'CUOTA INDUSTRIAL'!I139</f>
        <v>997.44500000000005</v>
      </c>
      <c r="L173" s="24">
        <f>'CUOTA INDUSTRIAL'!J139</f>
        <v>1236.2329999999997</v>
      </c>
      <c r="M173" s="251">
        <f>'CUOTA INDUSTRIAL'!K139</f>
        <v>0.44654824912095659</v>
      </c>
      <c r="N173" s="25" t="s">
        <v>56</v>
      </c>
      <c r="O173" s="26">
        <f>RESUMEN!$B$3</f>
        <v>45481</v>
      </c>
      <c r="P173" s="23">
        <f t="shared" si="11"/>
        <v>2024</v>
      </c>
      <c r="Q173" s="1"/>
    </row>
    <row r="174" spans="1:17">
      <c r="A174" s="22" t="s">
        <v>46</v>
      </c>
      <c r="B174" s="23" t="s">
        <v>39</v>
      </c>
      <c r="C174" s="23" t="s">
        <v>21</v>
      </c>
      <c r="D174" s="23" t="s">
        <v>40</v>
      </c>
      <c r="E174" s="1" t="str">
        <f>+'CUOTA INDUSTRIAL'!C$139</f>
        <v>LANDES S.A. SOC. PESQ.</v>
      </c>
      <c r="F174" s="4">
        <v>45566</v>
      </c>
      <c r="G174" s="4">
        <v>45657</v>
      </c>
      <c r="H174" s="24">
        <f>+'CUOTA INDUSTRIAL'!F140</f>
        <v>695.92</v>
      </c>
      <c r="I174" s="24">
        <f>'CUOTA INDUSTRIAL'!G140</f>
        <v>0</v>
      </c>
      <c r="J174" s="24">
        <f>'CUOTA INDUSTRIAL'!H140</f>
        <v>1932.1529999999998</v>
      </c>
      <c r="K174" s="24">
        <f>'CUOTA INDUSTRIAL'!I140</f>
        <v>0</v>
      </c>
      <c r="L174" s="24">
        <f>'CUOTA INDUSTRIAL'!J140</f>
        <v>1932.1529999999998</v>
      </c>
      <c r="M174" s="251">
        <f>'CUOTA INDUSTRIAL'!K140</f>
        <v>0</v>
      </c>
      <c r="N174" s="25" t="s">
        <v>56</v>
      </c>
      <c r="O174" s="26">
        <f>RESUMEN!$B$3</f>
        <v>45481</v>
      </c>
      <c r="P174" s="23">
        <f t="shared" si="11"/>
        <v>2024</v>
      </c>
      <c r="Q174" s="1"/>
    </row>
    <row r="175" spans="1:17">
      <c r="A175" s="22" t="s">
        <v>46</v>
      </c>
      <c r="B175" s="23" t="s">
        <v>39</v>
      </c>
      <c r="C175" s="23" t="s">
        <v>21</v>
      </c>
      <c r="D175" s="23" t="s">
        <v>40</v>
      </c>
      <c r="E175" s="1" t="str">
        <f>+'CUOTA INDUSTRIAL'!C$139</f>
        <v>LANDES S.A. SOC. PESQ.</v>
      </c>
      <c r="F175" s="4">
        <v>45292</v>
      </c>
      <c r="G175" s="4">
        <v>45657</v>
      </c>
      <c r="H175" s="24">
        <f>'CUOTA INDUSTRIAL'!$L$139</f>
        <v>6959.3919999999998</v>
      </c>
      <c r="I175" s="3">
        <f>+'CUOTA INDUSTRIAL'!M139</f>
        <v>-4029.7939999999999</v>
      </c>
      <c r="J175" s="3">
        <f>+'CUOTA INDUSTRIAL'!N139</f>
        <v>2929.598</v>
      </c>
      <c r="K175" s="3">
        <f>+'CUOTA INDUSTRIAL'!O139</f>
        <v>997.44500000000005</v>
      </c>
      <c r="L175" s="3">
        <f>+'CUOTA INDUSTRIAL'!P139</f>
        <v>1932.1529999999998</v>
      </c>
      <c r="M175" s="249">
        <f>+'CUOTA INDUSTRIAL'!Q139</f>
        <v>0.34047162784791635</v>
      </c>
      <c r="N175" s="25" t="s">
        <v>56</v>
      </c>
      <c r="O175" s="26">
        <f>RESUMEN!$B$3</f>
        <v>45481</v>
      </c>
      <c r="P175" s="23">
        <f t="shared" si="11"/>
        <v>2024</v>
      </c>
      <c r="Q175" s="1"/>
    </row>
    <row r="176" spans="1:17">
      <c r="A176" s="22" t="s">
        <v>46</v>
      </c>
      <c r="B176" s="23" t="s">
        <v>39</v>
      </c>
      <c r="C176" s="23" t="s">
        <v>21</v>
      </c>
      <c r="D176" s="23" t="s">
        <v>40</v>
      </c>
      <c r="E176" s="1" t="str">
        <f>+'CUOTA INDUSTRIAL'!C$141</f>
        <v>NOVAMAR SpA</v>
      </c>
      <c r="F176" s="4">
        <v>45292</v>
      </c>
      <c r="G176" s="4">
        <v>45565</v>
      </c>
      <c r="H176" s="24">
        <f>+'CUOTA INDUSTRIAL'!F141</f>
        <v>1013.206</v>
      </c>
      <c r="I176" s="24">
        <f>'CUOTA INDUSTRIAL'!G141</f>
        <v>-1125.7809999999999</v>
      </c>
      <c r="J176" s="24">
        <f>'CUOTA INDUSTRIAL'!H141</f>
        <v>-112.57499999999993</v>
      </c>
      <c r="K176" s="24">
        <f>'CUOTA INDUSTRIAL'!I141</f>
        <v>0</v>
      </c>
      <c r="L176" s="24">
        <f>'CUOTA INDUSTRIAL'!J141</f>
        <v>-112.57499999999993</v>
      </c>
      <c r="M176" s="251">
        <f>'CUOTA INDUSTRIAL'!K141</f>
        <v>0</v>
      </c>
      <c r="N176" s="25" t="s">
        <v>56</v>
      </c>
      <c r="O176" s="26">
        <f>RESUMEN!$B$3</f>
        <v>45481</v>
      </c>
      <c r="P176" s="23">
        <f t="shared" si="11"/>
        <v>2024</v>
      </c>
      <c r="Q176" s="1"/>
    </row>
    <row r="177" spans="1:17">
      <c r="A177" s="22" t="s">
        <v>46</v>
      </c>
      <c r="B177" s="23" t="s">
        <v>39</v>
      </c>
      <c r="C177" s="23" t="s">
        <v>21</v>
      </c>
      <c r="D177" s="23" t="s">
        <v>40</v>
      </c>
      <c r="E177" s="1" t="str">
        <f>+'CUOTA INDUSTRIAL'!C$141</f>
        <v>NOVAMAR SpA</v>
      </c>
      <c r="F177" s="4">
        <v>45566</v>
      </c>
      <c r="G177" s="4">
        <v>45657</v>
      </c>
      <c r="H177" s="24">
        <f>+'CUOTA INDUSTRIAL'!F142</f>
        <v>112.575</v>
      </c>
      <c r="I177" s="24">
        <f>'CUOTA INDUSTRIAL'!G142</f>
        <v>0</v>
      </c>
      <c r="J177" s="24">
        <f>'CUOTA INDUSTRIAL'!H142</f>
        <v>0</v>
      </c>
      <c r="K177" s="24">
        <f>'CUOTA INDUSTRIAL'!I142</f>
        <v>0</v>
      </c>
      <c r="L177" s="24">
        <f>'CUOTA INDUSTRIAL'!J142</f>
        <v>0</v>
      </c>
      <c r="M177" s="251">
        <f>'CUOTA INDUSTRIAL'!K142</f>
        <v>0</v>
      </c>
      <c r="N177" s="25" t="s">
        <v>56</v>
      </c>
      <c r="O177" s="26">
        <f>RESUMEN!$B$3</f>
        <v>45481</v>
      </c>
      <c r="P177" s="23">
        <f t="shared" si="11"/>
        <v>2024</v>
      </c>
      <c r="Q177" s="1"/>
    </row>
    <row r="178" spans="1:17">
      <c r="A178" s="22" t="s">
        <v>46</v>
      </c>
      <c r="B178" s="23" t="s">
        <v>39</v>
      </c>
      <c r="C178" s="23" t="s">
        <v>21</v>
      </c>
      <c r="D178" s="23" t="s">
        <v>40</v>
      </c>
      <c r="E178" s="1" t="str">
        <f>+'CUOTA INDUSTRIAL'!C$141</f>
        <v>NOVAMAR SpA</v>
      </c>
      <c r="F178" s="4">
        <v>45292</v>
      </c>
      <c r="G178" s="4">
        <v>45657</v>
      </c>
      <c r="H178" s="24">
        <f>'CUOTA INDUSTRIAL'!$L$141</f>
        <v>1125.7809999999999</v>
      </c>
      <c r="I178" s="3">
        <f>+'CUOTA INDUSTRIAL'!M141</f>
        <v>-1125.7809999999999</v>
      </c>
      <c r="J178" s="3">
        <f>+'CUOTA INDUSTRIAL'!N141</f>
        <v>0</v>
      </c>
      <c r="K178" s="3">
        <f>+'CUOTA INDUSTRIAL'!O141</f>
        <v>0</v>
      </c>
      <c r="L178" s="3">
        <f>+'CUOTA INDUSTRIAL'!P141</f>
        <v>0</v>
      </c>
      <c r="M178" s="249" t="e">
        <f>+'CUOTA INDUSTRIAL'!Q141</f>
        <v>#DIV/0!</v>
      </c>
      <c r="N178" s="25" t="s">
        <v>56</v>
      </c>
      <c r="O178" s="26">
        <f>RESUMEN!$B$3</f>
        <v>45481</v>
      </c>
      <c r="P178" s="23">
        <f t="shared" si="11"/>
        <v>2024</v>
      </c>
      <c r="Q178" s="1"/>
    </row>
    <row r="179" spans="1:17">
      <c r="A179" s="22" t="s">
        <v>46</v>
      </c>
      <c r="B179" s="23" t="s">
        <v>39</v>
      </c>
      <c r="C179" s="23" t="s">
        <v>21</v>
      </c>
      <c r="D179" s="23" t="s">
        <v>40</v>
      </c>
      <c r="E179" s="1" t="str">
        <f>+'CUOTA INDUSTRIAL'!C$143</f>
        <v>ORIZON S.A.</v>
      </c>
      <c r="F179" s="4">
        <v>45292</v>
      </c>
      <c r="G179" s="4">
        <v>45565</v>
      </c>
      <c r="H179" s="24">
        <f>+'CUOTA INDUSTRIAL'!F143</f>
        <v>18893.733</v>
      </c>
      <c r="I179" s="24">
        <f>'CUOTA INDUSTRIAL'!G143</f>
        <v>-6849.3109999999997</v>
      </c>
      <c r="J179" s="24">
        <f>'CUOTA INDUSTRIAL'!H143</f>
        <v>12044.422</v>
      </c>
      <c r="K179" s="24">
        <f>'CUOTA INDUSTRIAL'!I143</f>
        <v>7.6710000000000003</v>
      </c>
      <c r="L179" s="24">
        <f>'CUOTA INDUSTRIAL'!J143</f>
        <v>12036.751</v>
      </c>
      <c r="M179" s="251">
        <f>'CUOTA INDUSTRIAL'!K143</f>
        <v>6.368923307403211E-4</v>
      </c>
      <c r="N179" s="25" t="s">
        <v>56</v>
      </c>
      <c r="O179" s="26">
        <f>RESUMEN!$B$3</f>
        <v>45481</v>
      </c>
      <c r="P179" s="23">
        <f t="shared" si="11"/>
        <v>2024</v>
      </c>
      <c r="Q179" s="1"/>
    </row>
    <row r="180" spans="1:17">
      <c r="A180" s="22" t="s">
        <v>46</v>
      </c>
      <c r="B180" s="23" t="s">
        <v>39</v>
      </c>
      <c r="C180" s="23" t="s">
        <v>21</v>
      </c>
      <c r="D180" s="23" t="s">
        <v>40</v>
      </c>
      <c r="E180" s="1" t="str">
        <f>+'CUOTA INDUSTRIAL'!C$143</f>
        <v>ORIZON S.A.</v>
      </c>
      <c r="F180" s="4">
        <v>45566</v>
      </c>
      <c r="G180" s="4">
        <v>45657</v>
      </c>
      <c r="H180" s="24">
        <f>+'CUOTA INDUSTRIAL'!F144</f>
        <v>2099.239</v>
      </c>
      <c r="I180" s="24">
        <f>'CUOTA INDUSTRIAL'!G144</f>
        <v>0</v>
      </c>
      <c r="J180" s="24">
        <f>'CUOTA INDUSTRIAL'!H144</f>
        <v>14135.99</v>
      </c>
      <c r="K180" s="24">
        <f>'CUOTA INDUSTRIAL'!I144</f>
        <v>0</v>
      </c>
      <c r="L180" s="24">
        <f>'CUOTA INDUSTRIAL'!J144</f>
        <v>14135.99</v>
      </c>
      <c r="M180" s="251">
        <f>'CUOTA INDUSTRIAL'!K144</f>
        <v>0</v>
      </c>
      <c r="N180" s="25" t="s">
        <v>56</v>
      </c>
      <c r="O180" s="26">
        <f>RESUMEN!$B$3</f>
        <v>45481</v>
      </c>
      <c r="P180" s="23">
        <f t="shared" si="11"/>
        <v>2024</v>
      </c>
      <c r="Q180" s="1"/>
    </row>
    <row r="181" spans="1:17">
      <c r="A181" s="22" t="s">
        <v>46</v>
      </c>
      <c r="B181" s="23" t="s">
        <v>39</v>
      </c>
      <c r="C181" s="23" t="s">
        <v>21</v>
      </c>
      <c r="D181" s="23" t="s">
        <v>40</v>
      </c>
      <c r="E181" s="1" t="str">
        <f>+'CUOTA INDUSTRIAL'!C$143</f>
        <v>ORIZON S.A.</v>
      </c>
      <c r="F181" s="4">
        <v>45292</v>
      </c>
      <c r="G181" s="4">
        <v>45657</v>
      </c>
      <c r="H181" s="24">
        <f>'CUOTA INDUSTRIAL'!$L$143</f>
        <v>20992.972000000002</v>
      </c>
      <c r="I181" s="3">
        <f>+'CUOTA INDUSTRIAL'!M143</f>
        <v>-6849.3109999999997</v>
      </c>
      <c r="J181" s="3">
        <f>+'CUOTA INDUSTRIAL'!N143</f>
        <v>14143.661000000002</v>
      </c>
      <c r="K181" s="3">
        <f>+'CUOTA INDUSTRIAL'!O143</f>
        <v>7.6710000000000003</v>
      </c>
      <c r="L181" s="3">
        <f>+'CUOTA INDUSTRIAL'!P143</f>
        <v>14135.990000000002</v>
      </c>
      <c r="M181" s="249">
        <f>+'CUOTA INDUSTRIAL'!Q143</f>
        <v>5.4236311235117971E-4</v>
      </c>
      <c r="N181" s="25" t="s">
        <v>56</v>
      </c>
      <c r="O181" s="26">
        <f>RESUMEN!$B$3</f>
        <v>45481</v>
      </c>
      <c r="P181" s="23">
        <f t="shared" si="11"/>
        <v>2024</v>
      </c>
      <c r="Q181" s="1"/>
    </row>
    <row r="182" spans="1:17">
      <c r="A182" s="22" t="s">
        <v>46</v>
      </c>
      <c r="B182" s="23" t="s">
        <v>39</v>
      </c>
      <c r="C182" s="23" t="s">
        <v>21</v>
      </c>
      <c r="D182" s="23" t="s">
        <v>40</v>
      </c>
      <c r="E182" s="1" t="str">
        <f>+'CUOTA INDUSTRIAL'!C$145</f>
        <v>PACIFICBLU SpA</v>
      </c>
      <c r="F182" s="4">
        <v>45292</v>
      </c>
      <c r="G182" s="4">
        <v>45565</v>
      </c>
      <c r="H182" s="24">
        <f>+'CUOTA INDUSTRIAL'!F145</f>
        <v>2.2189999999999999</v>
      </c>
      <c r="I182" s="24">
        <f>'CUOTA INDUSTRIAL'!G145</f>
        <v>0</v>
      </c>
      <c r="J182" s="24">
        <f>'CUOTA INDUSTRIAL'!H145</f>
        <v>2.2189999999999999</v>
      </c>
      <c r="K182" s="24">
        <f>'CUOTA INDUSTRIAL'!I145</f>
        <v>0</v>
      </c>
      <c r="L182" s="24">
        <f>'CUOTA INDUSTRIAL'!J145</f>
        <v>2.2189999999999999</v>
      </c>
      <c r="M182" s="251">
        <f>'CUOTA INDUSTRIAL'!K145</f>
        <v>0</v>
      </c>
      <c r="N182" s="25" t="s">
        <v>56</v>
      </c>
      <c r="O182" s="26">
        <f>RESUMEN!$B$3</f>
        <v>45481</v>
      </c>
      <c r="P182" s="23">
        <f t="shared" si="11"/>
        <v>2024</v>
      </c>
      <c r="Q182" s="1"/>
    </row>
    <row r="183" spans="1:17">
      <c r="A183" s="22" t="s">
        <v>46</v>
      </c>
      <c r="B183" s="23" t="s">
        <v>39</v>
      </c>
      <c r="C183" s="23" t="s">
        <v>21</v>
      </c>
      <c r="D183" s="23" t="s">
        <v>40</v>
      </c>
      <c r="E183" s="1" t="str">
        <f>+'CUOTA INDUSTRIAL'!C$145</f>
        <v>PACIFICBLU SpA</v>
      </c>
      <c r="F183" s="4">
        <v>45566</v>
      </c>
      <c r="G183" s="4">
        <v>45657</v>
      </c>
      <c r="H183" s="24">
        <f>+'CUOTA INDUSTRIAL'!F146</f>
        <v>0.247</v>
      </c>
      <c r="I183" s="24">
        <f>'CUOTA INDUSTRIAL'!G146</f>
        <v>0</v>
      </c>
      <c r="J183" s="24">
        <f>'CUOTA INDUSTRIAL'!H146</f>
        <v>2.4659999999999997</v>
      </c>
      <c r="K183" s="24">
        <f>'CUOTA INDUSTRIAL'!I146</f>
        <v>0</v>
      </c>
      <c r="L183" s="24">
        <f>'CUOTA INDUSTRIAL'!J146</f>
        <v>2.4659999999999997</v>
      </c>
      <c r="M183" s="251">
        <f>'CUOTA INDUSTRIAL'!K146</f>
        <v>0</v>
      </c>
      <c r="N183" s="25" t="s">
        <v>56</v>
      </c>
      <c r="O183" s="26">
        <f>RESUMEN!$B$3</f>
        <v>45481</v>
      </c>
      <c r="P183" s="23">
        <f t="shared" si="11"/>
        <v>2024</v>
      </c>
      <c r="Q183" s="1"/>
    </row>
    <row r="184" spans="1:17">
      <c r="A184" s="22" t="s">
        <v>46</v>
      </c>
      <c r="B184" s="23" t="s">
        <v>39</v>
      </c>
      <c r="C184" s="23" t="s">
        <v>21</v>
      </c>
      <c r="D184" s="23" t="s">
        <v>40</v>
      </c>
      <c r="E184" s="1" t="str">
        <f>+'CUOTA INDUSTRIAL'!C$145</f>
        <v>PACIFICBLU SpA</v>
      </c>
      <c r="F184" s="4">
        <v>45292</v>
      </c>
      <c r="G184" s="4">
        <v>45657</v>
      </c>
      <c r="H184" s="24">
        <f>'CUOTA INDUSTRIAL'!$L$145</f>
        <v>2.4659999999999997</v>
      </c>
      <c r="I184" s="3">
        <f>+'CUOTA INDUSTRIAL'!M145</f>
        <v>0</v>
      </c>
      <c r="J184" s="3">
        <f>+'CUOTA INDUSTRIAL'!N145</f>
        <v>2.4659999999999997</v>
      </c>
      <c r="K184" s="3">
        <f>+'CUOTA INDUSTRIAL'!O145</f>
        <v>0</v>
      </c>
      <c r="L184" s="3">
        <f>+'CUOTA INDUSTRIAL'!P145</f>
        <v>2.4659999999999997</v>
      </c>
      <c r="M184" s="249">
        <f>+'CUOTA INDUSTRIAL'!Q145</f>
        <v>0</v>
      </c>
      <c r="N184" s="25" t="s">
        <v>56</v>
      </c>
      <c r="O184" s="26">
        <f>RESUMEN!$B$3</f>
        <v>45481</v>
      </c>
      <c r="P184" s="23">
        <f t="shared" si="11"/>
        <v>2024</v>
      </c>
      <c r="Q184" s="1"/>
    </row>
    <row r="185" spans="1:17">
      <c r="A185" s="22" t="s">
        <v>46</v>
      </c>
      <c r="B185" s="23" t="s">
        <v>39</v>
      </c>
      <c r="C185" s="23" t="s">
        <v>21</v>
      </c>
      <c r="D185" s="23" t="s">
        <v>40</v>
      </c>
      <c r="E185" s="1" t="str">
        <f>+'CUOTA INDUSTRIAL'!C$147</f>
        <v>POBLETE ARAVENA ADRIANA</v>
      </c>
      <c r="F185" s="4">
        <v>45292</v>
      </c>
      <c r="G185" s="4">
        <v>45565</v>
      </c>
      <c r="H185" s="24">
        <f>+'CUOTA INDUSTRIAL'!F147</f>
        <v>0.55500000000000005</v>
      </c>
      <c r="I185" s="24">
        <f>'CUOTA INDUSTRIAL'!G147</f>
        <v>0</v>
      </c>
      <c r="J185" s="24">
        <f>'CUOTA INDUSTRIAL'!H147</f>
        <v>0.55500000000000005</v>
      </c>
      <c r="K185" s="24">
        <f>'CUOTA INDUSTRIAL'!I147</f>
        <v>0</v>
      </c>
      <c r="L185" s="24">
        <f>'CUOTA INDUSTRIAL'!J147</f>
        <v>0.55500000000000005</v>
      </c>
      <c r="M185" s="251">
        <f>'CUOTA INDUSTRIAL'!K147</f>
        <v>0</v>
      </c>
      <c r="N185" s="25" t="s">
        <v>56</v>
      </c>
      <c r="O185" s="26">
        <f>RESUMEN!$B$3</f>
        <v>45481</v>
      </c>
      <c r="P185" s="23">
        <f t="shared" si="11"/>
        <v>2024</v>
      </c>
      <c r="Q185" s="1"/>
    </row>
    <row r="186" spans="1:17">
      <c r="A186" s="22" t="s">
        <v>46</v>
      </c>
      <c r="B186" s="23" t="s">
        <v>39</v>
      </c>
      <c r="C186" s="23" t="s">
        <v>21</v>
      </c>
      <c r="D186" s="23" t="s">
        <v>40</v>
      </c>
      <c r="E186" s="1" t="str">
        <f>+'CUOTA INDUSTRIAL'!C$147</f>
        <v>POBLETE ARAVENA ADRIANA</v>
      </c>
      <c r="F186" s="4">
        <v>45566</v>
      </c>
      <c r="G186" s="4">
        <v>45657</v>
      </c>
      <c r="H186" s="24">
        <f>+'CUOTA INDUSTRIAL'!F148</f>
        <v>6.2E-2</v>
      </c>
      <c r="I186" s="24">
        <f>'CUOTA INDUSTRIAL'!G148</f>
        <v>0</v>
      </c>
      <c r="J186" s="24">
        <f>'CUOTA INDUSTRIAL'!H148</f>
        <v>0.61699999999999999</v>
      </c>
      <c r="K186" s="24">
        <f>'CUOTA INDUSTRIAL'!I148</f>
        <v>0</v>
      </c>
      <c r="L186" s="24">
        <f>'CUOTA INDUSTRIAL'!J148</f>
        <v>0.61699999999999999</v>
      </c>
      <c r="M186" s="251">
        <f>'CUOTA INDUSTRIAL'!K148</f>
        <v>0</v>
      </c>
      <c r="N186" s="25" t="s">
        <v>56</v>
      </c>
      <c r="O186" s="26">
        <f>RESUMEN!$B$3</f>
        <v>45481</v>
      </c>
      <c r="P186" s="23">
        <f t="shared" si="11"/>
        <v>2024</v>
      </c>
      <c r="Q186" s="1"/>
    </row>
    <row r="187" spans="1:17">
      <c r="A187" s="22" t="s">
        <v>46</v>
      </c>
      <c r="B187" s="23" t="s">
        <v>39</v>
      </c>
      <c r="C187" s="23" t="s">
        <v>21</v>
      </c>
      <c r="D187" s="23" t="s">
        <v>40</v>
      </c>
      <c r="E187" s="1" t="str">
        <f>+'CUOTA INDUSTRIAL'!C$147</f>
        <v>POBLETE ARAVENA ADRIANA</v>
      </c>
      <c r="F187" s="4">
        <v>45292</v>
      </c>
      <c r="G187" s="4">
        <v>45657</v>
      </c>
      <c r="H187" s="24">
        <f>'CUOTA INDUSTRIAL'!$L$147</f>
        <v>0.61699999999999999</v>
      </c>
      <c r="I187" s="3">
        <f>+'CUOTA INDUSTRIAL'!M147</f>
        <v>0</v>
      </c>
      <c r="J187" s="3">
        <f>+'CUOTA INDUSTRIAL'!N147</f>
        <v>0.61699999999999999</v>
      </c>
      <c r="K187" s="3">
        <f>+'CUOTA INDUSTRIAL'!O147</f>
        <v>0</v>
      </c>
      <c r="L187" s="3">
        <f>+'CUOTA INDUSTRIAL'!P147</f>
        <v>0.61699999999999999</v>
      </c>
      <c r="M187" s="249">
        <f>+'CUOTA INDUSTRIAL'!Q147</f>
        <v>0</v>
      </c>
      <c r="N187" s="25" t="s">
        <v>56</v>
      </c>
      <c r="O187" s="26">
        <f>RESUMEN!$B$3</f>
        <v>45481</v>
      </c>
      <c r="P187" s="23">
        <f t="shared" si="11"/>
        <v>2024</v>
      </c>
      <c r="Q187" s="1"/>
    </row>
    <row r="188" spans="1:17">
      <c r="A188" s="22" t="s">
        <v>46</v>
      </c>
      <c r="B188" s="23" t="s">
        <v>39</v>
      </c>
      <c r="C188" s="23" t="s">
        <v>21</v>
      </c>
      <c r="D188" s="23" t="s">
        <v>40</v>
      </c>
      <c r="E188" s="1" t="str">
        <f>+'CUOTA INDUSTRIAL'!C$149</f>
        <v>PROCESOS TECNOLOGICOS DEL BIO BIO SpA</v>
      </c>
      <c r="F188" s="4">
        <v>45292</v>
      </c>
      <c r="G188" s="4">
        <v>45565</v>
      </c>
      <c r="H188" s="24">
        <f>+'CUOTA INDUSTRIAL'!F149</f>
        <v>1174.8599999999999</v>
      </c>
      <c r="I188" s="24">
        <f>'CUOTA INDUSTRIAL'!G149</f>
        <v>-1305.3869999999999</v>
      </c>
      <c r="J188" s="24">
        <f>'CUOTA INDUSTRIAL'!H149</f>
        <v>-130.52700000000004</v>
      </c>
      <c r="K188" s="24">
        <f>'CUOTA INDUSTRIAL'!I149</f>
        <v>0</v>
      </c>
      <c r="L188" s="24">
        <f>'CUOTA INDUSTRIAL'!J149</f>
        <v>-130.52700000000004</v>
      </c>
      <c r="M188" s="251">
        <f>'CUOTA INDUSTRIAL'!K149</f>
        <v>0.99999310554038778</v>
      </c>
      <c r="N188" s="25" t="s">
        <v>56</v>
      </c>
      <c r="O188" s="26">
        <f>RESUMEN!$B$3</f>
        <v>45481</v>
      </c>
      <c r="P188" s="23">
        <f t="shared" si="11"/>
        <v>2024</v>
      </c>
      <c r="Q188" s="1"/>
    </row>
    <row r="189" spans="1:17">
      <c r="A189" s="22" t="s">
        <v>46</v>
      </c>
      <c r="B189" s="23" t="s">
        <v>39</v>
      </c>
      <c r="C189" s="23" t="s">
        <v>21</v>
      </c>
      <c r="D189" s="23" t="s">
        <v>40</v>
      </c>
      <c r="E189" s="1" t="str">
        <f>+'CUOTA INDUSTRIAL'!C$149</f>
        <v>PROCESOS TECNOLOGICOS DEL BIO BIO SpA</v>
      </c>
      <c r="F189" s="4">
        <v>45566</v>
      </c>
      <c r="G189" s="4">
        <v>45657</v>
      </c>
      <c r="H189" s="24">
        <f>+'CUOTA INDUSTRIAL'!F150</f>
        <v>130.536</v>
      </c>
      <c r="I189" s="24">
        <f>'CUOTA INDUSTRIAL'!G150</f>
        <v>0</v>
      </c>
      <c r="J189" s="24">
        <f>'CUOTA INDUSTRIAL'!H150</f>
        <v>8.9999999999577085E-3</v>
      </c>
      <c r="K189" s="24">
        <f>'CUOTA INDUSTRIAL'!I150</f>
        <v>0</v>
      </c>
      <c r="L189" s="24">
        <f>'CUOTA INDUSTRIAL'!J150</f>
        <v>8.9999999999577085E-3</v>
      </c>
      <c r="M189" s="251">
        <f>'CUOTA INDUSTRIAL'!K150</f>
        <v>0.99999310554038778</v>
      </c>
      <c r="N189" s="25" t="s">
        <v>56</v>
      </c>
      <c r="O189" s="26">
        <f>RESUMEN!$B$3</f>
        <v>45481</v>
      </c>
      <c r="P189" s="23">
        <f t="shared" si="11"/>
        <v>2024</v>
      </c>
      <c r="Q189" s="1"/>
    </row>
    <row r="190" spans="1:17">
      <c r="A190" s="22" t="s">
        <v>46</v>
      </c>
      <c r="B190" s="23" t="s">
        <v>39</v>
      </c>
      <c r="C190" s="23" t="s">
        <v>21</v>
      </c>
      <c r="D190" s="23" t="s">
        <v>40</v>
      </c>
      <c r="E190" s="1" t="str">
        <f>+'CUOTA INDUSTRIAL'!C$149</f>
        <v>PROCESOS TECNOLOGICOS DEL BIO BIO SpA</v>
      </c>
      <c r="F190" s="4">
        <v>45292</v>
      </c>
      <c r="G190" s="4">
        <v>45657</v>
      </c>
      <c r="H190" s="24">
        <f>'CUOTA INDUSTRIAL'!$L$149</f>
        <v>1305.396</v>
      </c>
      <c r="I190" s="3">
        <f>+'CUOTA INDUSTRIAL'!M149</f>
        <v>-1305.3869999999999</v>
      </c>
      <c r="J190" s="3">
        <f>+'CUOTA INDUSTRIAL'!N149</f>
        <v>9.0000000000145519E-3</v>
      </c>
      <c r="K190" s="3">
        <f>+'CUOTA INDUSTRIAL'!O149</f>
        <v>0</v>
      </c>
      <c r="L190" s="3">
        <f>+'CUOTA INDUSTRIAL'!P149</f>
        <v>9.0000000000145519E-3</v>
      </c>
      <c r="M190" s="249">
        <f>+'CUOTA INDUSTRIAL'!Q149</f>
        <v>0</v>
      </c>
      <c r="N190" s="25" t="s">
        <v>56</v>
      </c>
      <c r="O190" s="26">
        <f>RESUMEN!$B$3</f>
        <v>45481</v>
      </c>
      <c r="P190" s="23">
        <f t="shared" si="11"/>
        <v>2024</v>
      </c>
      <c r="Q190" s="1"/>
    </row>
    <row r="191" spans="1:17">
      <c r="A191" s="22" t="s">
        <v>46</v>
      </c>
      <c r="B191" s="23" t="s">
        <v>39</v>
      </c>
      <c r="C191" s="23" t="s">
        <v>21</v>
      </c>
      <c r="D191" s="23" t="s">
        <v>40</v>
      </c>
      <c r="E191" s="1" t="str">
        <f>+'CUOTA INDUSTRIAL'!C$151</f>
        <v>SIPESUR SPA</v>
      </c>
      <c r="F191" s="4">
        <v>45292</v>
      </c>
      <c r="G191" s="4">
        <v>45565</v>
      </c>
      <c r="H191" s="24">
        <f>+'CUOTA INDUSTRIAL'!F151</f>
        <v>1582.3869999999999</v>
      </c>
      <c r="I191" s="24">
        <f>'CUOTA INDUSTRIAL'!G151</f>
        <v>-628.15600000000018</v>
      </c>
      <c r="J191" s="24">
        <f>'CUOTA INDUSTRIAL'!H151</f>
        <v>954.23099999999977</v>
      </c>
      <c r="K191" s="24">
        <f>'CUOTA INDUSTRIAL'!I151</f>
        <v>0</v>
      </c>
      <c r="L191" s="24">
        <f>'CUOTA INDUSTRIAL'!J151</f>
        <v>954.23099999999977</v>
      </c>
      <c r="M191" s="251">
        <f>'CUOTA INDUSTRIAL'!K151</f>
        <v>0</v>
      </c>
      <c r="N191" s="25" t="s">
        <v>56</v>
      </c>
      <c r="O191" s="26">
        <f>RESUMEN!$B$3</f>
        <v>45481</v>
      </c>
      <c r="P191" s="23">
        <f t="shared" si="11"/>
        <v>2024</v>
      </c>
      <c r="Q191" s="1"/>
    </row>
    <row r="192" spans="1:17">
      <c r="A192" s="22" t="s">
        <v>46</v>
      </c>
      <c r="B192" s="23" t="s">
        <v>39</v>
      </c>
      <c r="C192" s="23" t="s">
        <v>21</v>
      </c>
      <c r="D192" s="23" t="s">
        <v>40</v>
      </c>
      <c r="E192" s="1" t="str">
        <f>+'CUOTA INDUSTRIAL'!C$151</f>
        <v>SIPESUR SPA</v>
      </c>
      <c r="F192" s="4">
        <v>45566</v>
      </c>
      <c r="G192" s="4">
        <v>45657</v>
      </c>
      <c r="H192" s="24">
        <f>+'CUOTA INDUSTRIAL'!F152</f>
        <v>175.816</v>
      </c>
      <c r="I192" s="24">
        <f>'CUOTA INDUSTRIAL'!G152</f>
        <v>0</v>
      </c>
      <c r="J192" s="24">
        <f>'CUOTA INDUSTRIAL'!H152</f>
        <v>1130.0469999999998</v>
      </c>
      <c r="K192" s="24">
        <f>'CUOTA INDUSTRIAL'!I152</f>
        <v>0</v>
      </c>
      <c r="L192" s="24">
        <f>'CUOTA INDUSTRIAL'!J152</f>
        <v>1130.0469999999998</v>
      </c>
      <c r="M192" s="251">
        <f>'CUOTA INDUSTRIAL'!K152</f>
        <v>0</v>
      </c>
      <c r="N192" s="25" t="s">
        <v>56</v>
      </c>
      <c r="O192" s="26">
        <f>RESUMEN!$B$3</f>
        <v>45481</v>
      </c>
      <c r="P192" s="23">
        <f t="shared" si="11"/>
        <v>2024</v>
      </c>
      <c r="Q192" s="1"/>
    </row>
    <row r="193" spans="1:18">
      <c r="A193" s="22" t="s">
        <v>46</v>
      </c>
      <c r="B193" s="23" t="s">
        <v>39</v>
      </c>
      <c r="C193" s="23" t="s">
        <v>21</v>
      </c>
      <c r="D193" s="23" t="s">
        <v>40</v>
      </c>
      <c r="E193" s="1" t="str">
        <f>+'CUOTA INDUSTRIAL'!C$151</f>
        <v>SIPESUR SPA</v>
      </c>
      <c r="F193" s="4">
        <v>45292</v>
      </c>
      <c r="G193" s="4">
        <v>45657</v>
      </c>
      <c r="H193" s="24">
        <f>'CUOTA INDUSTRIAL'!$L$151</f>
        <v>1758.203</v>
      </c>
      <c r="I193" s="3">
        <f>+'CUOTA INDUSTRIAL'!M151</f>
        <v>-628.15600000000018</v>
      </c>
      <c r="J193" s="3">
        <f>+'CUOTA INDUSTRIAL'!N151</f>
        <v>1130.0469999999998</v>
      </c>
      <c r="K193" s="3">
        <f>+'CUOTA INDUSTRIAL'!O151</f>
        <v>0</v>
      </c>
      <c r="L193" s="3">
        <f>+'CUOTA INDUSTRIAL'!P151</f>
        <v>1130.0469999999998</v>
      </c>
      <c r="M193" s="249">
        <f>+'CUOTA INDUSTRIAL'!Q151</f>
        <v>0</v>
      </c>
      <c r="N193" s="25" t="s">
        <v>56</v>
      </c>
      <c r="O193" s="26">
        <f>RESUMEN!$B$3</f>
        <v>45481</v>
      </c>
      <c r="P193" s="23">
        <f t="shared" si="11"/>
        <v>2024</v>
      </c>
      <c r="Q193" s="1"/>
    </row>
    <row r="194" spans="1:18">
      <c r="A194" s="22" t="s">
        <v>46</v>
      </c>
      <c r="B194" s="23" t="s">
        <v>39</v>
      </c>
      <c r="C194" s="23" t="s">
        <v>21</v>
      </c>
      <c r="D194" s="23" t="s">
        <v>40</v>
      </c>
      <c r="E194" s="1" t="str">
        <f>+'CUOTA INDUSTRIAL'!C$153</f>
        <v>SUR AUSTRAL S.A. PESQ.</v>
      </c>
      <c r="F194" s="4">
        <v>45292</v>
      </c>
      <c r="G194" s="4">
        <v>45565</v>
      </c>
      <c r="H194" s="268">
        <f>+'CUOTA INDUSTRIAL'!F153</f>
        <v>109.58799999999999</v>
      </c>
      <c r="I194" s="268">
        <f>'CUOTA INDUSTRIAL'!G153</f>
        <v>3.4000000000000002E-2</v>
      </c>
      <c r="J194" s="268">
        <f>'CUOTA INDUSTRIAL'!H153</f>
        <v>109.622</v>
      </c>
      <c r="K194" s="268">
        <f>'CUOTA INDUSTRIAL'!I153</f>
        <v>0</v>
      </c>
      <c r="L194" s="268">
        <f>'CUOTA INDUSTRIAL'!J153</f>
        <v>109.622</v>
      </c>
      <c r="M194" s="269">
        <f>'CUOTA INDUSTRIAL'!K153</f>
        <v>0</v>
      </c>
      <c r="N194" s="270" t="s">
        <v>56</v>
      </c>
      <c r="O194" s="271">
        <f>RESUMEN!$B$3</f>
        <v>45481</v>
      </c>
      <c r="P194" s="272">
        <f t="shared" si="11"/>
        <v>2024</v>
      </c>
      <c r="Q194" s="112"/>
    </row>
    <row r="195" spans="1:18">
      <c r="A195" s="22" t="s">
        <v>46</v>
      </c>
      <c r="B195" s="23" t="s">
        <v>39</v>
      </c>
      <c r="C195" s="23" t="s">
        <v>21</v>
      </c>
      <c r="D195" s="23" t="s">
        <v>40</v>
      </c>
      <c r="E195" s="1" t="str">
        <f>+'CUOTA INDUSTRIAL'!C$153</f>
        <v>SUR AUSTRAL S.A. PESQ.</v>
      </c>
      <c r="F195" s="4">
        <v>45566</v>
      </c>
      <c r="G195" s="4">
        <v>45657</v>
      </c>
      <c r="H195" s="268">
        <f>+'CUOTA INDUSTRIAL'!F154</f>
        <v>12.176</v>
      </c>
      <c r="I195" s="268">
        <f>'CUOTA INDUSTRIAL'!G154</f>
        <v>0</v>
      </c>
      <c r="J195" s="268">
        <f>'CUOTA INDUSTRIAL'!H154</f>
        <v>121.798</v>
      </c>
      <c r="K195" s="268">
        <f>'CUOTA INDUSTRIAL'!I154</f>
        <v>0</v>
      </c>
      <c r="L195" s="268">
        <f>'CUOTA INDUSTRIAL'!J154</f>
        <v>121.798</v>
      </c>
      <c r="M195" s="269">
        <f>'CUOTA INDUSTRIAL'!K154</f>
        <v>0</v>
      </c>
      <c r="N195" s="270" t="s">
        <v>56</v>
      </c>
      <c r="O195" s="271">
        <f>RESUMEN!$B$3</f>
        <v>45481</v>
      </c>
      <c r="P195" s="272">
        <f t="shared" si="11"/>
        <v>2024</v>
      </c>
      <c r="Q195" s="112"/>
    </row>
    <row r="196" spans="1:18">
      <c r="A196" s="22" t="s">
        <v>46</v>
      </c>
      <c r="B196" s="23" t="s">
        <v>39</v>
      </c>
      <c r="C196" s="23" t="s">
        <v>21</v>
      </c>
      <c r="D196" s="23" t="s">
        <v>40</v>
      </c>
      <c r="E196" s="1" t="str">
        <f>+'CUOTA INDUSTRIAL'!C$153</f>
        <v>SUR AUSTRAL S.A. PESQ.</v>
      </c>
      <c r="F196" s="4">
        <v>45292</v>
      </c>
      <c r="G196" s="4">
        <v>45657</v>
      </c>
      <c r="H196" s="268">
        <f>'CUOTA INDUSTRIAL'!$L$153</f>
        <v>121.764</v>
      </c>
      <c r="I196" s="273">
        <f>+'CUOTA INDUSTRIAL'!M153</f>
        <v>3.4000000000000002E-2</v>
      </c>
      <c r="J196" s="273">
        <f>+'CUOTA INDUSTRIAL'!N153</f>
        <v>121.798</v>
      </c>
      <c r="K196" s="273">
        <f>+'CUOTA INDUSTRIAL'!O153</f>
        <v>0</v>
      </c>
      <c r="L196" s="273">
        <f>+'CUOTA INDUSTRIAL'!P153</f>
        <v>121.798</v>
      </c>
      <c r="M196" s="274">
        <f>+'CUOTA INDUSTRIAL'!Q153</f>
        <v>0</v>
      </c>
      <c r="N196" s="270" t="s">
        <v>56</v>
      </c>
      <c r="O196" s="271">
        <f>RESUMEN!$B$3</f>
        <v>45481</v>
      </c>
      <c r="P196" s="272">
        <f t="shared" si="11"/>
        <v>2024</v>
      </c>
      <c r="Q196" s="112"/>
    </row>
    <row r="197" spans="1:18">
      <c r="A197" s="22" t="s">
        <v>46</v>
      </c>
      <c r="B197" s="23" t="s">
        <v>39</v>
      </c>
      <c r="C197" s="23" t="s">
        <v>21</v>
      </c>
      <c r="D197" s="23" t="s">
        <v>40</v>
      </c>
      <c r="E197" s="1" t="str">
        <f>+'CUOTA INDUSTRIAL'!C$155</f>
        <v>COMERCIAL Y CONSERVERA SAN LAZARO LIMITADA</v>
      </c>
      <c r="F197" s="4">
        <v>45292</v>
      </c>
      <c r="G197" s="4">
        <v>45292</v>
      </c>
      <c r="H197" s="268">
        <f>+'CUOTA INDUSTRIAL'!F155</f>
        <v>0</v>
      </c>
      <c r="I197" s="268">
        <f>+'CUOTA INDUSTRIAL'!G155</f>
        <v>1305.3959999999997</v>
      </c>
      <c r="J197" s="268">
        <f>+'CUOTA INDUSTRIAL'!H155</f>
        <v>1305.3959999999997</v>
      </c>
      <c r="K197" s="268">
        <f>+'CUOTA INDUSTRIAL'!I155</f>
        <v>0</v>
      </c>
      <c r="L197" s="268">
        <f>+'CUOTA INDUSTRIAL'!J155</f>
        <v>1305.3959999999997</v>
      </c>
      <c r="M197" s="275">
        <f>'CUOTA INDUSTRIAL'!K155</f>
        <v>0</v>
      </c>
      <c r="N197" s="270" t="s">
        <v>56</v>
      </c>
      <c r="O197" s="271">
        <f>RESUMEN!$B$3</f>
        <v>45481</v>
      </c>
      <c r="P197" s="272">
        <f t="shared" si="11"/>
        <v>2024</v>
      </c>
      <c r="Q197" s="112"/>
    </row>
    <row r="198" spans="1:18">
      <c r="A198" s="22" t="s">
        <v>46</v>
      </c>
      <c r="B198" s="23" t="s">
        <v>39</v>
      </c>
      <c r="C198" s="23" t="s">
        <v>21</v>
      </c>
      <c r="D198" s="23" t="s">
        <v>40</v>
      </c>
      <c r="E198" s="1" t="str">
        <f>+'CUOTA INDUSTRIAL'!C$155</f>
        <v>COMERCIAL Y CONSERVERA SAN LAZARO LIMITADA</v>
      </c>
      <c r="F198" s="4">
        <v>45566</v>
      </c>
      <c r="G198" s="4">
        <v>45566</v>
      </c>
      <c r="H198" s="268">
        <f>+'CUOTA INDUSTRIAL'!F156</f>
        <v>0</v>
      </c>
      <c r="I198" s="268">
        <f>+'CUOTA INDUSTRIAL'!G156</f>
        <v>0</v>
      </c>
      <c r="J198" s="268">
        <f>+'CUOTA INDUSTRIAL'!H156</f>
        <v>1305.3959999999997</v>
      </c>
      <c r="K198" s="268">
        <f>+'CUOTA INDUSTRIAL'!I156</f>
        <v>0</v>
      </c>
      <c r="L198" s="268">
        <f>+'CUOTA INDUSTRIAL'!J156</f>
        <v>1305.3959999999997</v>
      </c>
      <c r="M198" s="275">
        <f>'CUOTA INDUSTRIAL'!K156</f>
        <v>0</v>
      </c>
      <c r="N198" s="270" t="s">
        <v>56</v>
      </c>
      <c r="O198" s="271">
        <f>RESUMEN!$B$3</f>
        <v>45481</v>
      </c>
      <c r="P198" s="272">
        <f t="shared" si="11"/>
        <v>2024</v>
      </c>
      <c r="Q198" s="112"/>
    </row>
    <row r="199" spans="1:18">
      <c r="A199" s="22" t="s">
        <v>46</v>
      </c>
      <c r="B199" s="23" t="s">
        <v>39</v>
      </c>
      <c r="C199" s="23" t="s">
        <v>21</v>
      </c>
      <c r="D199" s="23" t="s">
        <v>40</v>
      </c>
      <c r="E199" s="1" t="str">
        <f>+'CUOTA INDUSTRIAL'!C$155</f>
        <v>COMERCIAL Y CONSERVERA SAN LAZARO LIMITADA</v>
      </c>
      <c r="F199" s="4">
        <v>45292</v>
      </c>
      <c r="G199" s="4">
        <v>45292</v>
      </c>
      <c r="H199" s="268">
        <f>'CUOTA INDUSTRIAL'!$L$155</f>
        <v>0</v>
      </c>
      <c r="I199" s="268">
        <f>+'CUOTA INDUSTRIAL'!M155</f>
        <v>1305.3959999999997</v>
      </c>
      <c r="J199" s="268">
        <f>'CUOTA INDUSTRIAL'!N155</f>
        <v>1305.3959999999997</v>
      </c>
      <c r="K199" s="268">
        <f>+'CUOTA INDUSTRIAL'!O155</f>
        <v>0</v>
      </c>
      <c r="L199" s="268">
        <f>+'CUOTA INDUSTRIAL'!P155</f>
        <v>1305.3959999999997</v>
      </c>
      <c r="M199" s="275">
        <f>'CUOTA INDUSTRIAL'!Q155</f>
        <v>0</v>
      </c>
      <c r="N199" s="270" t="s">
        <v>56</v>
      </c>
      <c r="O199" s="271">
        <f>RESUMEN!$B$3</f>
        <v>45481</v>
      </c>
      <c r="P199" s="272">
        <f t="shared" si="11"/>
        <v>2024</v>
      </c>
      <c r="Q199" s="112"/>
    </row>
    <row r="200" spans="1:18">
      <c r="A200" s="22" t="s">
        <v>46</v>
      </c>
      <c r="B200" s="23" t="s">
        <v>39</v>
      </c>
      <c r="C200" s="23" t="s">
        <v>21</v>
      </c>
      <c r="D200" s="23" t="s">
        <v>40</v>
      </c>
      <c r="E200" s="1" t="str">
        <f>'CUOTA INDUSTRIAL'!$C$157</f>
        <v>THOR FISHERIES CHILE SPA.</v>
      </c>
      <c r="F200" s="4">
        <v>45292</v>
      </c>
      <c r="G200" s="4">
        <v>45565</v>
      </c>
      <c r="H200" s="268">
        <f>+'CUOTA INDUSTRIAL'!F157</f>
        <v>4.569</v>
      </c>
      <c r="I200" s="268">
        <f>'CUOTA INDUSTRIAL'!G157</f>
        <v>1.45</v>
      </c>
      <c r="J200" s="268">
        <f>'CUOTA INDUSTRIAL'!H157</f>
        <v>6.0190000000000001</v>
      </c>
      <c r="K200" s="268">
        <f>'CUOTA INDUSTRIAL'!I157</f>
        <v>0</v>
      </c>
      <c r="L200" s="268">
        <f>'CUOTA INDUSTRIAL'!J157</f>
        <v>6.0190000000000001</v>
      </c>
      <c r="M200" s="269">
        <f>'CUOTA INDUSTRIAL'!K157</f>
        <v>0</v>
      </c>
      <c r="N200" s="270" t="s">
        <v>56</v>
      </c>
      <c r="O200" s="271">
        <f>RESUMEN!$B$3</f>
        <v>45481</v>
      </c>
      <c r="P200" s="272">
        <f t="shared" si="11"/>
        <v>2024</v>
      </c>
      <c r="Q200" s="112"/>
    </row>
    <row r="201" spans="1:18">
      <c r="A201" s="22" t="s">
        <v>46</v>
      </c>
      <c r="B201" s="23" t="s">
        <v>39</v>
      </c>
      <c r="C201" s="23" t="s">
        <v>21</v>
      </c>
      <c r="D201" s="23" t="s">
        <v>40</v>
      </c>
      <c r="E201" s="1" t="str">
        <f>'CUOTA INDUSTRIAL'!$C$157</f>
        <v>THOR FISHERIES CHILE SPA.</v>
      </c>
      <c r="F201" s="4">
        <v>45566</v>
      </c>
      <c r="G201" s="4">
        <v>45657</v>
      </c>
      <c r="H201" s="268">
        <f>+'CUOTA INDUSTRIAL'!F158</f>
        <v>0.50800000000000001</v>
      </c>
      <c r="I201" s="268">
        <f>'CUOTA INDUSTRIAL'!G158</f>
        <v>0</v>
      </c>
      <c r="J201" s="268">
        <f>'CUOTA INDUSTRIAL'!H158</f>
        <v>6.5270000000000001</v>
      </c>
      <c r="K201" s="268">
        <f>'CUOTA INDUSTRIAL'!I158</f>
        <v>0</v>
      </c>
      <c r="L201" s="268">
        <f>'CUOTA INDUSTRIAL'!J158</f>
        <v>6.5270000000000001</v>
      </c>
      <c r="M201" s="269">
        <f>'CUOTA INDUSTRIAL'!K158</f>
        <v>0</v>
      </c>
      <c r="N201" s="270" t="s">
        <v>56</v>
      </c>
      <c r="O201" s="271">
        <f>RESUMEN!$B$3</f>
        <v>45481</v>
      </c>
      <c r="P201" s="272">
        <f t="shared" si="11"/>
        <v>2024</v>
      </c>
      <c r="Q201" s="112"/>
    </row>
    <row r="202" spans="1:18">
      <c r="A202" s="22" t="s">
        <v>46</v>
      </c>
      <c r="B202" s="23" t="s">
        <v>39</v>
      </c>
      <c r="C202" s="23" t="s">
        <v>21</v>
      </c>
      <c r="D202" s="23" t="s">
        <v>40</v>
      </c>
      <c r="E202" s="1" t="str">
        <f>'CUOTA INDUSTRIAL'!$C$157</f>
        <v>THOR FISHERIES CHILE SPA.</v>
      </c>
      <c r="F202" s="4">
        <v>45292</v>
      </c>
      <c r="G202" s="4">
        <v>45657</v>
      </c>
      <c r="H202" s="268">
        <f>'CUOTA INDUSTRIAL'!$L$157</f>
        <v>5.077</v>
      </c>
      <c r="I202" s="273">
        <f>'CUOTA INDUSTRIAL'!M157</f>
        <v>1.45</v>
      </c>
      <c r="J202" s="273">
        <f>'CUOTA INDUSTRIAL'!N157</f>
        <v>6.5270000000000001</v>
      </c>
      <c r="K202" s="273">
        <f>'CUOTA INDUSTRIAL'!O157</f>
        <v>0</v>
      </c>
      <c r="L202" s="273">
        <f>'CUOTA INDUSTRIAL'!P157</f>
        <v>6.5270000000000001</v>
      </c>
      <c r="M202" s="274">
        <f>'CUOTA INDUSTRIAL'!Q157</f>
        <v>0</v>
      </c>
      <c r="N202" s="270" t="s">
        <v>56</v>
      </c>
      <c r="O202" s="271">
        <f>RESUMEN!$B$3</f>
        <v>45481</v>
      </c>
      <c r="P202" s="272">
        <f>YEAR(O202)</f>
        <v>2024</v>
      </c>
      <c r="Q202" s="112"/>
    </row>
    <row r="203" spans="1:18">
      <c r="A203" s="317" t="s">
        <v>46</v>
      </c>
      <c r="B203" s="318" t="s">
        <v>39</v>
      </c>
      <c r="C203" s="318" t="s">
        <v>21</v>
      </c>
      <c r="D203" s="318" t="s">
        <v>40</v>
      </c>
      <c r="E203" s="231" t="str">
        <f>'CUOTA INDUSTRIAL'!$C$159</f>
        <v>INVERSIONES GARO SpA</v>
      </c>
      <c r="F203" s="319">
        <v>45292</v>
      </c>
      <c r="G203" s="319">
        <v>45565</v>
      </c>
      <c r="H203" s="320">
        <f>+'CUOTA INDUSTRIAL'!F159</f>
        <v>0</v>
      </c>
      <c r="I203" s="320">
        <f>'CUOTA INDUSTRIAL'!G159</f>
        <v>0</v>
      </c>
      <c r="J203" s="320">
        <f>'CUOTA INDUSTRIAL'!H159</f>
        <v>0</v>
      </c>
      <c r="K203" s="320">
        <f>'CUOTA INDUSTRIAL'!I159</f>
        <v>0</v>
      </c>
      <c r="L203" s="320">
        <f>'CUOTA INDUSTRIAL'!J159</f>
        <v>0</v>
      </c>
      <c r="M203" s="253" t="e">
        <f>'CUOTA INDUSTRIAL'!K159</f>
        <v>#DIV/0!</v>
      </c>
      <c r="N203" s="321" t="s">
        <v>56</v>
      </c>
      <c r="O203" s="322">
        <f>RESUMEN!$B$3</f>
        <v>45481</v>
      </c>
      <c r="P203" s="318">
        <f t="shared" ref="P203:P204" si="12">YEAR(O203)</f>
        <v>2024</v>
      </c>
      <c r="Q203" s="231"/>
      <c r="R203" s="323"/>
    </row>
    <row r="204" spans="1:18">
      <c r="A204" s="317" t="s">
        <v>46</v>
      </c>
      <c r="B204" s="318" t="s">
        <v>39</v>
      </c>
      <c r="C204" s="318" t="s">
        <v>21</v>
      </c>
      <c r="D204" s="318" t="s">
        <v>40</v>
      </c>
      <c r="E204" s="231" t="str">
        <f>'CUOTA INDUSTRIAL'!$C$159</f>
        <v>INVERSIONES GARO SpA</v>
      </c>
      <c r="F204" s="319">
        <v>45566</v>
      </c>
      <c r="G204" s="319">
        <v>45657</v>
      </c>
      <c r="H204" s="320">
        <f>+'CUOTA INDUSTRIAL'!F160</f>
        <v>0</v>
      </c>
      <c r="I204" s="320">
        <f>'CUOTA INDUSTRIAL'!G160</f>
        <v>0</v>
      </c>
      <c r="J204" s="320">
        <f>'CUOTA INDUSTRIAL'!H160</f>
        <v>0</v>
      </c>
      <c r="K204" s="320">
        <f>'CUOTA INDUSTRIAL'!I160</f>
        <v>0</v>
      </c>
      <c r="L204" s="320">
        <f>'CUOTA INDUSTRIAL'!J160</f>
        <v>0</v>
      </c>
      <c r="M204" s="253" t="e">
        <f>'CUOTA INDUSTRIAL'!K160</f>
        <v>#DIV/0!</v>
      </c>
      <c r="N204" s="321" t="s">
        <v>56</v>
      </c>
      <c r="O204" s="322">
        <f>RESUMEN!$B$3</f>
        <v>45481</v>
      </c>
      <c r="P204" s="318">
        <f t="shared" si="12"/>
        <v>2024</v>
      </c>
      <c r="Q204" s="231"/>
      <c r="R204" s="323"/>
    </row>
    <row r="205" spans="1:18">
      <c r="A205" s="317" t="s">
        <v>46</v>
      </c>
      <c r="B205" s="318" t="s">
        <v>39</v>
      </c>
      <c r="C205" s="318" t="s">
        <v>21</v>
      </c>
      <c r="D205" s="318" t="s">
        <v>40</v>
      </c>
      <c r="E205" s="231" t="str">
        <f>'CUOTA INDUSTRIAL'!$C$159</f>
        <v>INVERSIONES GARO SpA</v>
      </c>
      <c r="F205" s="319">
        <v>45292</v>
      </c>
      <c r="G205" s="319">
        <v>45657</v>
      </c>
      <c r="H205" s="320">
        <f>'CUOTA INDUSTRIAL'!$L$159</f>
        <v>0</v>
      </c>
      <c r="I205" s="324">
        <f>'CUOTA INDUSTRIAL'!M159</f>
        <v>0</v>
      </c>
      <c r="J205" s="324">
        <f>'CUOTA INDUSTRIAL'!N159</f>
        <v>0</v>
      </c>
      <c r="K205" s="324">
        <f>'CUOTA INDUSTRIAL'!O159</f>
        <v>0</v>
      </c>
      <c r="L205" s="324">
        <f>'CUOTA INDUSTRIAL'!P159</f>
        <v>0</v>
      </c>
      <c r="M205" s="248" t="e">
        <f>'CUOTA INDUSTRIAL'!Q159</f>
        <v>#DIV/0!</v>
      </c>
      <c r="N205" s="321" t="s">
        <v>56</v>
      </c>
      <c r="O205" s="322">
        <f>RESUMEN!$B$3</f>
        <v>45481</v>
      </c>
      <c r="P205" s="318">
        <f>YEAR(O205)</f>
        <v>2024</v>
      </c>
      <c r="Q205" s="231"/>
      <c r="R205" s="323"/>
    </row>
    <row r="206" spans="1:18">
      <c r="A206" s="317" t="s">
        <v>46</v>
      </c>
      <c r="B206" s="318" t="s">
        <v>39</v>
      </c>
      <c r="C206" s="318" t="s">
        <v>21</v>
      </c>
      <c r="D206" s="318" t="s">
        <v>40</v>
      </c>
      <c r="E206" s="231" t="str">
        <f>'CUOTA INDUSTRIAL'!$C$161</f>
        <v>SOCIEDAD PESQUERA GENMAR LIMITADA</v>
      </c>
      <c r="F206" s="319">
        <v>45292</v>
      </c>
      <c r="G206" s="319">
        <v>45565</v>
      </c>
      <c r="H206" s="320">
        <f>+'CUOTA INDUSTRIAL'!F161</f>
        <v>0</v>
      </c>
      <c r="I206" s="320">
        <f>'CUOTA INDUSTRIAL'!G161</f>
        <v>16.68</v>
      </c>
      <c r="J206" s="320">
        <f>'CUOTA INDUSTRIAL'!H161</f>
        <v>16.68</v>
      </c>
      <c r="K206" s="320">
        <f>'CUOTA INDUSTRIAL'!I161</f>
        <v>0</v>
      </c>
      <c r="L206" s="320">
        <f>'CUOTA INDUSTRIAL'!J161</f>
        <v>16.68</v>
      </c>
      <c r="M206" s="253">
        <f>'CUOTA INDUSTRIAL'!K161</f>
        <v>16.68</v>
      </c>
      <c r="N206" s="321" t="s">
        <v>56</v>
      </c>
      <c r="O206" s="322">
        <f>RESUMEN!$B$3</f>
        <v>45481</v>
      </c>
      <c r="P206" s="318">
        <f t="shared" ref="P206:P207" si="13">YEAR(O206)</f>
        <v>2024</v>
      </c>
      <c r="Q206" s="231"/>
      <c r="R206" s="323"/>
    </row>
    <row r="207" spans="1:18">
      <c r="A207" s="317" t="s">
        <v>46</v>
      </c>
      <c r="B207" s="318" t="s">
        <v>39</v>
      </c>
      <c r="C207" s="318" t="s">
        <v>21</v>
      </c>
      <c r="D207" s="318" t="s">
        <v>40</v>
      </c>
      <c r="E207" s="231" t="str">
        <f>'CUOTA INDUSTRIAL'!$C$161</f>
        <v>SOCIEDAD PESQUERA GENMAR LIMITADA</v>
      </c>
      <c r="F207" s="319">
        <v>45566</v>
      </c>
      <c r="G207" s="319">
        <v>45657</v>
      </c>
      <c r="H207" s="320">
        <f>+'CUOTA INDUSTRIAL'!F162</f>
        <v>0</v>
      </c>
      <c r="I207" s="320">
        <f>'CUOTA INDUSTRIAL'!G162</f>
        <v>0</v>
      </c>
      <c r="J207" s="320">
        <f>'CUOTA INDUSTRIAL'!H162</f>
        <v>16.68</v>
      </c>
      <c r="K207" s="320">
        <f>'CUOTA INDUSTRIAL'!I162</f>
        <v>0</v>
      </c>
      <c r="L207" s="320">
        <f>'CUOTA INDUSTRIAL'!J162</f>
        <v>16.68</v>
      </c>
      <c r="M207" s="253">
        <f>'CUOTA INDUSTRIAL'!K162</f>
        <v>33.36</v>
      </c>
      <c r="N207" s="321" t="s">
        <v>56</v>
      </c>
      <c r="O207" s="322">
        <f>RESUMEN!$B$3</f>
        <v>45481</v>
      </c>
      <c r="P207" s="318">
        <f t="shared" si="13"/>
        <v>2024</v>
      </c>
      <c r="Q207" s="231"/>
      <c r="R207" s="323"/>
    </row>
    <row r="208" spans="1:18">
      <c r="A208" s="317" t="s">
        <v>46</v>
      </c>
      <c r="B208" s="318" t="s">
        <v>39</v>
      </c>
      <c r="C208" s="318" t="s">
        <v>21</v>
      </c>
      <c r="D208" s="318" t="s">
        <v>40</v>
      </c>
      <c r="E208" s="231" t="str">
        <f>'CUOTA INDUSTRIAL'!$C$161</f>
        <v>SOCIEDAD PESQUERA GENMAR LIMITADA</v>
      </c>
      <c r="F208" s="319">
        <v>45292</v>
      </c>
      <c r="G208" s="319">
        <v>45657</v>
      </c>
      <c r="H208" s="320">
        <f>'CUOTA INDUSTRIAL'!$L$161</f>
        <v>0</v>
      </c>
      <c r="I208" s="324">
        <f>'CUOTA INDUSTRIAL'!M161</f>
        <v>16.68</v>
      </c>
      <c r="J208" s="324">
        <f>'CUOTA INDUSTRIAL'!N161</f>
        <v>16.68</v>
      </c>
      <c r="K208" s="324">
        <f>'CUOTA INDUSTRIAL'!O161</f>
        <v>0</v>
      </c>
      <c r="L208" s="324">
        <f>'CUOTA INDUSTRIAL'!P161</f>
        <v>16.68</v>
      </c>
      <c r="M208" s="248">
        <f>'CUOTA INDUSTRIAL'!Q161</f>
        <v>0</v>
      </c>
      <c r="N208" s="321" t="s">
        <v>56</v>
      </c>
      <c r="O208" s="322">
        <f>RESUMEN!$B$3</f>
        <v>45481</v>
      </c>
      <c r="P208" s="318">
        <f>YEAR(O208)</f>
        <v>2024</v>
      </c>
      <c r="Q208" s="231"/>
      <c r="R208" s="323"/>
    </row>
    <row r="209" spans="1:18">
      <c r="A209" s="317" t="s">
        <v>46</v>
      </c>
      <c r="B209" s="318" t="s">
        <v>39</v>
      </c>
      <c r="C209" s="318" t="s">
        <v>21</v>
      </c>
      <c r="D209" s="318" t="s">
        <v>40</v>
      </c>
      <c r="E209" s="231" t="str">
        <f>'CUOTA INDUSTRIAL'!$C$165</f>
        <v>PELANTARO INOSTROZA CONCHA</v>
      </c>
      <c r="F209" s="319">
        <v>45292</v>
      </c>
      <c r="G209" s="319">
        <v>45565</v>
      </c>
      <c r="H209" s="320">
        <f>+'CUOTA INDUSTRIAL'!F165</f>
        <v>0</v>
      </c>
      <c r="I209" s="320">
        <f>'CUOTA INDUSTRIAL'!G165</f>
        <v>18.131</v>
      </c>
      <c r="J209" s="320">
        <f>'CUOTA INDUSTRIAL'!H165</f>
        <v>18.131</v>
      </c>
      <c r="K209" s="320">
        <f>'CUOTA INDUSTRIAL'!I165</f>
        <v>0</v>
      </c>
      <c r="L209" s="320">
        <f>'CUOTA INDUSTRIAL'!J165</f>
        <v>18.131</v>
      </c>
      <c r="M209" s="253">
        <f>'CUOTA INDUSTRIAL'!K165</f>
        <v>18.131</v>
      </c>
      <c r="N209" s="321" t="s">
        <v>56</v>
      </c>
      <c r="O209" s="322">
        <f>RESUMEN!$B$3</f>
        <v>45481</v>
      </c>
      <c r="P209" s="318">
        <f t="shared" ref="P209:P210" si="14">YEAR(O209)</f>
        <v>2024</v>
      </c>
      <c r="Q209" s="231"/>
      <c r="R209" s="323"/>
    </row>
    <row r="210" spans="1:18">
      <c r="A210" s="317" t="s">
        <v>46</v>
      </c>
      <c r="B210" s="318" t="s">
        <v>39</v>
      </c>
      <c r="C210" s="318" t="s">
        <v>21</v>
      </c>
      <c r="D210" s="318" t="s">
        <v>40</v>
      </c>
      <c r="E210" s="231" t="str">
        <f>'CUOTA INDUSTRIAL'!$C$165</f>
        <v>PELANTARO INOSTROZA CONCHA</v>
      </c>
      <c r="F210" s="319">
        <v>45566</v>
      </c>
      <c r="G210" s="319">
        <v>45657</v>
      </c>
      <c r="H210" s="320">
        <f>+'CUOTA INDUSTRIAL'!F176</f>
        <v>0</v>
      </c>
      <c r="I210" s="320">
        <f>'CUOTA INDUSTRIAL'!G166</f>
        <v>0</v>
      </c>
      <c r="J210" s="320">
        <f>'CUOTA INDUSTRIAL'!H166</f>
        <v>18.131</v>
      </c>
      <c r="K210" s="320">
        <f>'CUOTA INDUSTRIAL'!I193</f>
        <v>0</v>
      </c>
      <c r="L210" s="320">
        <f>'CUOTA INDUSTRIAL'!J166</f>
        <v>18.131</v>
      </c>
      <c r="M210" s="253">
        <f>'CUOTA INDUSTRIAL'!K166</f>
        <v>36.262</v>
      </c>
      <c r="N210" s="321" t="s">
        <v>56</v>
      </c>
      <c r="O210" s="322">
        <f>RESUMEN!$B$3</f>
        <v>45481</v>
      </c>
      <c r="P210" s="318">
        <f t="shared" si="14"/>
        <v>2024</v>
      </c>
      <c r="Q210" s="231"/>
      <c r="R210" s="323"/>
    </row>
    <row r="211" spans="1:18" ht="15.75" thickBot="1">
      <c r="A211" s="317" t="s">
        <v>46</v>
      </c>
      <c r="B211" s="318" t="s">
        <v>39</v>
      </c>
      <c r="C211" s="318" t="s">
        <v>21</v>
      </c>
      <c r="D211" s="318" t="s">
        <v>40</v>
      </c>
      <c r="E211" s="231" t="str">
        <f>'CUOTA INDUSTRIAL'!$C$165</f>
        <v>PELANTARO INOSTROZA CONCHA</v>
      </c>
      <c r="F211" s="319">
        <v>45292</v>
      </c>
      <c r="G211" s="319">
        <v>45657</v>
      </c>
      <c r="H211" s="320">
        <f>'CUOTA INDUSTRIAL'!$L$165</f>
        <v>0</v>
      </c>
      <c r="I211" s="324">
        <f>'CUOTA INDUSTRIAL'!M165</f>
        <v>18.131</v>
      </c>
      <c r="J211" s="324">
        <f>'CUOTA INDUSTRIAL'!N165</f>
        <v>18.131</v>
      </c>
      <c r="K211" s="324">
        <f>'CUOTA INDUSTRIAL'!O165</f>
        <v>0</v>
      </c>
      <c r="L211" s="324">
        <f>'CUOTA INDUSTRIAL'!P165</f>
        <v>18.131</v>
      </c>
      <c r="M211" s="248">
        <f>'CUOTA INDUSTRIAL'!Q165</f>
        <v>0</v>
      </c>
      <c r="N211" s="321" t="s">
        <v>56</v>
      </c>
      <c r="O211" s="322">
        <f>RESUMEN!$B$3</f>
        <v>45481</v>
      </c>
      <c r="P211" s="318">
        <f>YEAR(O211)</f>
        <v>2024</v>
      </c>
      <c r="Q211" s="231"/>
      <c r="R211" s="323"/>
    </row>
    <row r="212" spans="1:18" ht="15.75" thickBot="1">
      <c r="A212" s="325" t="s">
        <v>38</v>
      </c>
      <c r="B212" s="326" t="s">
        <v>39</v>
      </c>
      <c r="C212" s="326" t="s">
        <v>47</v>
      </c>
      <c r="D212" s="326" t="s">
        <v>41</v>
      </c>
      <c r="E212" s="326" t="str">
        <f>+'CUOTA ARTESANAL'!C$6</f>
        <v>MACROZONA XV-I</v>
      </c>
      <c r="F212" s="327">
        <v>45296</v>
      </c>
      <c r="G212" s="327">
        <v>45657</v>
      </c>
      <c r="H212" s="328">
        <f>'CUOTA ARTESANAL'!E6</f>
        <v>2953</v>
      </c>
      <c r="I212" s="328">
        <f>'CUOTA ARTESANAL'!F6</f>
        <v>0</v>
      </c>
      <c r="J212" s="328">
        <f>'CUOTA ARTESANAL'!G6</f>
        <v>2953</v>
      </c>
      <c r="K212" s="328">
        <f>'CUOTA ARTESANAL'!H6</f>
        <v>2918.277</v>
      </c>
      <c r="L212" s="328">
        <f>'CUOTA ARTESANAL'!I6</f>
        <v>34.722999999999956</v>
      </c>
      <c r="M212" s="329">
        <f>'CUOTA ARTESANAL'!J6</f>
        <v>0.98824144937351843</v>
      </c>
      <c r="N212" s="327">
        <f>'CUOTA ARTESANAL'!K6</f>
        <v>45345</v>
      </c>
      <c r="O212" s="330">
        <f>RESUMEN!$B$3</f>
        <v>45481</v>
      </c>
      <c r="P212" s="326">
        <f t="shared" ref="P212" si="15">YEAR(O212)</f>
        <v>2024</v>
      </c>
      <c r="Q212" s="318"/>
      <c r="R212" s="323"/>
    </row>
    <row r="213" spans="1:18" ht="16.5" thickTop="1" thickBot="1">
      <c r="A213" s="158" t="s">
        <v>38</v>
      </c>
      <c r="B213" s="159" t="s">
        <v>39</v>
      </c>
      <c r="C213" s="159" t="s">
        <v>0</v>
      </c>
      <c r="D213" s="159" t="s">
        <v>42</v>
      </c>
      <c r="E213" s="159" t="str">
        <f>+'CUOTA ARTESANAL'!C$8</f>
        <v>II REGION</v>
      </c>
      <c r="F213" s="157">
        <v>45296</v>
      </c>
      <c r="G213" s="157">
        <v>45657</v>
      </c>
      <c r="H213" s="161">
        <f>'CUOTA ARTESANAL'!E8</f>
        <v>2952</v>
      </c>
      <c r="I213" s="161">
        <f>'CUOTA ARTESANAL'!F8</f>
        <v>0</v>
      </c>
      <c r="J213" s="161">
        <f>'CUOTA ARTESANAL'!G8</f>
        <v>2952</v>
      </c>
      <c r="K213" s="161">
        <f>'CUOTA ARTESANAL'!H8</f>
        <v>3064.4140000000002</v>
      </c>
      <c r="L213" s="161">
        <f>'CUOTA ARTESANAL'!I8</f>
        <v>-112.41400000000021</v>
      </c>
      <c r="M213" s="252">
        <f>'CUOTA ARTESANAL'!J8</f>
        <v>1.0380806233062332</v>
      </c>
      <c r="N213" s="160">
        <f>'CUOTA ARTESANAL'!K8</f>
        <v>45337</v>
      </c>
      <c r="O213" s="162">
        <f>RESUMEN!$B$3</f>
        <v>45481</v>
      </c>
      <c r="P213" s="159">
        <f>YEAR(O213)</f>
        <v>2024</v>
      </c>
      <c r="Q213" s="23"/>
    </row>
    <row r="214" spans="1:18" ht="16.5" thickTop="1" thickBot="1">
      <c r="A214" s="158" t="s">
        <v>43</v>
      </c>
      <c r="B214" s="159" t="s">
        <v>39</v>
      </c>
      <c r="C214" s="159" t="s">
        <v>1</v>
      </c>
      <c r="D214" s="159" t="s">
        <v>42</v>
      </c>
      <c r="E214" s="159" t="str">
        <f>+'CUOTA ARTESANAL'!C$12</f>
        <v>III REGION</v>
      </c>
      <c r="F214" s="157">
        <v>45296</v>
      </c>
      <c r="G214" s="157">
        <v>45657</v>
      </c>
      <c r="H214" s="161">
        <f>'CUOTA ARTESANAL'!E12</f>
        <v>7613</v>
      </c>
      <c r="I214" s="161">
        <f>'CUOTA ARTESANAL'!F12</f>
        <v>4121</v>
      </c>
      <c r="J214" s="161">
        <f>'CUOTA ARTESANAL'!G12</f>
        <v>11734</v>
      </c>
      <c r="K214" s="161">
        <f>'CUOTA ARTESANAL'!H12</f>
        <v>11324</v>
      </c>
      <c r="L214" s="161">
        <f>'CUOTA ARTESANAL'!I12</f>
        <v>410</v>
      </c>
      <c r="M214" s="252">
        <f>'CUOTA ARTESANAL'!J12</f>
        <v>0.96505880347707518</v>
      </c>
      <c r="N214" s="160">
        <f>'CUOTA ARTESANAL'!K12</f>
        <v>0</v>
      </c>
      <c r="O214" s="162">
        <f>RESUMEN!$B$3</f>
        <v>45481</v>
      </c>
      <c r="P214" s="159">
        <f>YEAR(O214)</f>
        <v>2024</v>
      </c>
      <c r="Q214" s="23"/>
    </row>
    <row r="215" spans="1:18" ht="16.5" thickTop="1" thickBot="1">
      <c r="A215" s="22" t="s">
        <v>43</v>
      </c>
      <c r="B215" s="23" t="s">
        <v>39</v>
      </c>
      <c r="C215" s="23" t="s">
        <v>48</v>
      </c>
      <c r="D215" s="23" t="s">
        <v>179</v>
      </c>
      <c r="E215" s="23" t="str">
        <f>+'CUOTA ARTESANAL'!C$15</f>
        <v xml:space="preserve"> AG. PAR Y BUZOS DE COQUIMBO AG 55-04</v>
      </c>
      <c r="F215" s="157">
        <v>45296</v>
      </c>
      <c r="G215" s="157">
        <v>45657</v>
      </c>
      <c r="H215" s="24">
        <f>'CUOTA ARTESANAL'!E15</f>
        <v>1802.9490000000001</v>
      </c>
      <c r="I215" s="24">
        <f>'CUOTA ARTESANAL'!F15</f>
        <v>-1281.741</v>
      </c>
      <c r="J215" s="24">
        <f>'CUOTA ARTESANAL'!G15</f>
        <v>521.20800000000008</v>
      </c>
      <c r="K215" s="24">
        <f>'CUOTA ARTESANAL'!H15</f>
        <v>165.65700000000001</v>
      </c>
      <c r="L215" s="24">
        <f>'CUOTA ARTESANAL'!I15</f>
        <v>355.55100000000004</v>
      </c>
      <c r="M215" s="253">
        <f>'CUOTA ARTESANAL'!J15</f>
        <v>0.31783280379426254</v>
      </c>
      <c r="N215" s="25" t="str">
        <f>'CUOTA ARTESANAL'!K15</f>
        <v>-</v>
      </c>
      <c r="O215" s="26">
        <f>RESUMEN!$B$3</f>
        <v>45481</v>
      </c>
      <c r="P215" s="23">
        <f>YEAR(O215)</f>
        <v>2024</v>
      </c>
      <c r="Q215" s="23"/>
    </row>
    <row r="216" spans="1:18" ht="16.5" thickTop="1" thickBot="1">
      <c r="A216" s="2" t="s">
        <v>43</v>
      </c>
      <c r="B216" s="1" t="s">
        <v>39</v>
      </c>
      <c r="C216" s="1" t="s">
        <v>48</v>
      </c>
      <c r="D216" s="1" t="s">
        <v>179</v>
      </c>
      <c r="E216" s="1" t="str">
        <f>+'CUOTA ARTESANAL'!C$16</f>
        <v>CERCOPESCA. ROL 4276</v>
      </c>
      <c r="F216" s="157">
        <v>45296</v>
      </c>
      <c r="G216" s="157">
        <v>45657</v>
      </c>
      <c r="H216" s="3">
        <f>'CUOTA ARTESANAL'!E16</f>
        <v>11387.459000000001</v>
      </c>
      <c r="I216" s="3">
        <f>'CUOTA ARTESANAL'!F16</f>
        <v>2641.7310000000002</v>
      </c>
      <c r="J216" s="3">
        <f>'CUOTA ARTESANAL'!G16</f>
        <v>14029.19</v>
      </c>
      <c r="K216" s="3">
        <f>'CUOTA ARTESANAL'!H16</f>
        <v>10871.108</v>
      </c>
      <c r="L216" s="3">
        <f>'CUOTA ARTESANAL'!I16</f>
        <v>3158.0820000000003</v>
      </c>
      <c r="M216" s="249">
        <f>'CUOTA ARTESANAL'!J16</f>
        <v>0.77489206433158297</v>
      </c>
      <c r="N216" s="25" t="str">
        <f>'CUOTA ARTESANAL'!K16</f>
        <v>-</v>
      </c>
      <c r="O216" s="5">
        <f>RESUMEN!$B$3</f>
        <v>45481</v>
      </c>
      <c r="P216" s="1">
        <f t="shared" ref="P216:P217" si="16">YEAR(O216)</f>
        <v>2024</v>
      </c>
      <c r="Q216" s="24"/>
    </row>
    <row r="217" spans="1:18" ht="16.5" thickTop="1" thickBot="1">
      <c r="A217" s="2" t="s">
        <v>43</v>
      </c>
      <c r="B217" s="1" t="s">
        <v>39</v>
      </c>
      <c r="C217" s="1" t="s">
        <v>48</v>
      </c>
      <c r="D217" s="1" t="s">
        <v>179</v>
      </c>
      <c r="E217" s="1" t="str">
        <f>+'CUOTA ARTESANAL'!C$17</f>
        <v>STI ARMADORES CERQUEROS. RSU 04.04.0472</v>
      </c>
      <c r="F217" s="157">
        <v>45296</v>
      </c>
      <c r="G217" s="157">
        <v>45657</v>
      </c>
      <c r="H217" s="3">
        <f>'CUOTA ARTESANAL'!E17</f>
        <v>455.03500000000003</v>
      </c>
      <c r="I217" s="3">
        <f>'CUOTA ARTESANAL'!F17</f>
        <v>-455.03500000000003</v>
      </c>
      <c r="J217" s="3">
        <f>'CUOTA ARTESANAL'!G17</f>
        <v>0</v>
      </c>
      <c r="K217" s="3">
        <f>'CUOTA ARTESANAL'!H17</f>
        <v>1.5</v>
      </c>
      <c r="L217" s="3">
        <f>'CUOTA ARTESANAL'!I17</f>
        <v>-1.5</v>
      </c>
      <c r="M217" s="249">
        <f>'CUOTA ARTESANAL'!J17</f>
        <v>1</v>
      </c>
      <c r="N217" s="25">
        <f>'CUOTA ARTESANAL'!K17</f>
        <v>45385</v>
      </c>
      <c r="O217" s="5">
        <f>RESUMEN!$B$3</f>
        <v>45481</v>
      </c>
      <c r="P217" s="1">
        <f t="shared" si="16"/>
        <v>2024</v>
      </c>
      <c r="Q217" s="24"/>
    </row>
    <row r="218" spans="1:18" ht="16.5" thickTop="1" thickBot="1">
      <c r="A218" s="51" t="s">
        <v>43</v>
      </c>
      <c r="B218" s="49" t="s">
        <v>39</v>
      </c>
      <c r="C218" s="49" t="s">
        <v>48</v>
      </c>
      <c r="D218" s="49" t="s">
        <v>55</v>
      </c>
      <c r="E218" s="49" t="str">
        <f>+'CUOTA ARTESANAL'!C$18</f>
        <v xml:space="preserve"> BOLSON RESIDUAL</v>
      </c>
      <c r="F218" s="157">
        <v>45296</v>
      </c>
      <c r="G218" s="157">
        <v>45657</v>
      </c>
      <c r="H218" s="163">
        <f>'CUOTA ARTESANAL'!E18</f>
        <v>4118.5569999999998</v>
      </c>
      <c r="I218" s="163">
        <f>'CUOTA ARTESANAL'!F18</f>
        <v>955.44799999999998</v>
      </c>
      <c r="J218" s="163">
        <f>'CUOTA ARTESANAL'!G18</f>
        <v>5074.0050000000001</v>
      </c>
      <c r="K218" s="163">
        <f>'CUOTA ARTESANAL'!H18</f>
        <v>4438.982</v>
      </c>
      <c r="L218" s="163">
        <f>'CUOTA ARTESANAL'!I18</f>
        <v>635.02300000000014</v>
      </c>
      <c r="M218" s="254">
        <f>'CUOTA ARTESANAL'!J18</f>
        <v>0.87484777803727032</v>
      </c>
      <c r="N218" s="25" t="str">
        <f>'CUOTA ARTESANAL'!K18</f>
        <v>-</v>
      </c>
      <c r="O218" s="164">
        <f>RESUMEN!$B$3</f>
        <v>45481</v>
      </c>
      <c r="P218" s="48">
        <f t="shared" ref="P218:P219" si="17">YEAR(O218)</f>
        <v>2024</v>
      </c>
      <c r="Q218" s="1"/>
    </row>
    <row r="219" spans="1:18" ht="16.5" thickTop="1" thickBot="1">
      <c r="A219" s="22" t="s">
        <v>45</v>
      </c>
      <c r="B219" s="23" t="s">
        <v>39</v>
      </c>
      <c r="C219" s="23" t="s">
        <v>49</v>
      </c>
      <c r="D219" s="23" t="s">
        <v>179</v>
      </c>
      <c r="E219" s="23" t="str">
        <f>+'CUOTA ARTESANAL'!C$21</f>
        <v>AG DEL PUERTO DE SAN ANTONIO. RAG 2510</v>
      </c>
      <c r="F219" s="157">
        <v>45296</v>
      </c>
      <c r="G219" s="157">
        <v>45657</v>
      </c>
      <c r="H219" s="24">
        <f>'CUOTA ARTESANAL'!E21</f>
        <v>6808.4880000000003</v>
      </c>
      <c r="I219" s="24">
        <f>'CUOTA ARTESANAL'!F21</f>
        <v>-6808.4880000000003</v>
      </c>
      <c r="J219" s="24">
        <f>'CUOTA ARTESANAL'!G21</f>
        <v>0</v>
      </c>
      <c r="K219" s="24">
        <f>'CUOTA ARTESANAL'!H21</f>
        <v>0</v>
      </c>
      <c r="L219" s="24">
        <f>'CUOTA ARTESANAL'!I21</f>
        <v>0</v>
      </c>
      <c r="M219" s="251">
        <f>'CUOTA ARTESANAL'!J21</f>
        <v>1</v>
      </c>
      <c r="N219" s="24">
        <f>'CUOTA ARTESANAL'!K21</f>
        <v>45386</v>
      </c>
      <c r="O219" s="26">
        <f>RESUMEN!$B$3</f>
        <v>45481</v>
      </c>
      <c r="P219" s="23">
        <f t="shared" si="17"/>
        <v>2024</v>
      </c>
      <c r="Q219" s="23"/>
    </row>
    <row r="220" spans="1:18" ht="16.5" thickTop="1" thickBot="1">
      <c r="A220" s="2" t="s">
        <v>45</v>
      </c>
      <c r="B220" s="1" t="s">
        <v>39</v>
      </c>
      <c r="C220" s="1" t="s">
        <v>49</v>
      </c>
      <c r="D220" s="1" t="s">
        <v>179</v>
      </c>
      <c r="E220" s="1" t="str">
        <f>+'CUOTA ARTESANAL'!C$22</f>
        <v>AG AGRAPES A.G 4399</v>
      </c>
      <c r="F220" s="157">
        <v>45296</v>
      </c>
      <c r="G220" s="157">
        <v>45657</v>
      </c>
      <c r="H220" s="24">
        <f>'CUOTA ARTESANAL'!E22</f>
        <v>116.312</v>
      </c>
      <c r="I220" s="24">
        <f>'CUOTA ARTESANAL'!F22</f>
        <v>-116.312</v>
      </c>
      <c r="J220" s="24">
        <f>'CUOTA ARTESANAL'!G22</f>
        <v>0</v>
      </c>
      <c r="K220" s="24">
        <f>'CUOTA ARTESANAL'!H22</f>
        <v>0</v>
      </c>
      <c r="L220" s="24">
        <f>'CUOTA ARTESANAL'!I22</f>
        <v>0</v>
      </c>
      <c r="M220" s="251">
        <f>'CUOTA ARTESANAL'!J22</f>
        <v>1</v>
      </c>
      <c r="N220" s="24">
        <f>'CUOTA ARTESANAL'!K22</f>
        <v>45386</v>
      </c>
      <c r="O220" s="26">
        <f>RESUMEN!$B$3</f>
        <v>45481</v>
      </c>
      <c r="P220" s="23">
        <f t="shared" ref="P220" si="18">YEAR(O220)</f>
        <v>2024</v>
      </c>
      <c r="Q220" s="1"/>
    </row>
    <row r="221" spans="1:18" ht="16.5" thickTop="1" thickBot="1">
      <c r="A221" s="2" t="s">
        <v>45</v>
      </c>
      <c r="B221" s="1" t="s">
        <v>39</v>
      </c>
      <c r="C221" s="1" t="s">
        <v>49</v>
      </c>
      <c r="D221" s="1" t="s">
        <v>179</v>
      </c>
      <c r="E221" s="1" t="str">
        <f>'CUOTA ARTESANAL'!C23</f>
        <v>STI DE PESCADORES MONTEMAR RSU 05.04.0117</v>
      </c>
      <c r="F221" s="157">
        <v>45296</v>
      </c>
      <c r="G221" s="157">
        <v>45657</v>
      </c>
      <c r="H221" s="24">
        <f>'CUOTA ARTESANAL'!E23</f>
        <v>3.4550000000000001</v>
      </c>
      <c r="I221" s="24">
        <f>'CUOTA ARTESANAL'!F23</f>
        <v>0</v>
      </c>
      <c r="J221" s="24">
        <f>'CUOTA ARTESANAL'!G23</f>
        <v>3.4550000000000001</v>
      </c>
      <c r="K221" s="24">
        <f>'CUOTA ARTESANAL'!H23</f>
        <v>0.05</v>
      </c>
      <c r="L221" s="24">
        <f>'CUOTA ARTESANAL'!I23</f>
        <v>3.4050000000000002</v>
      </c>
      <c r="M221" s="251">
        <f>'CUOTA ARTESANAL'!J23</f>
        <v>1.4471780028943561E-2</v>
      </c>
      <c r="N221" s="24" t="str">
        <f>'CUOTA ARTESANAL'!K23</f>
        <v>-</v>
      </c>
      <c r="O221" s="26">
        <f>RESUMEN!$B$3</f>
        <v>45481</v>
      </c>
      <c r="P221" s="23">
        <f t="shared" ref="P221:P222" si="19">YEAR(O221)</f>
        <v>2024</v>
      </c>
      <c r="Q221" s="1"/>
    </row>
    <row r="222" spans="1:18" ht="16.5" thickTop="1" thickBot="1">
      <c r="A222" s="2" t="s">
        <v>45</v>
      </c>
      <c r="B222" s="1" t="s">
        <v>39</v>
      </c>
      <c r="C222" s="1" t="s">
        <v>49</v>
      </c>
      <c r="D222" s="1" t="s">
        <v>179</v>
      </c>
      <c r="E222" s="1" t="str">
        <f>+'CUOTA ARTESANAL'!C$24</f>
        <v>STI MUELLE SUD AMERICANA. RSU 5010462</v>
      </c>
      <c r="F222" s="157">
        <v>45296</v>
      </c>
      <c r="G222" s="157">
        <v>45657</v>
      </c>
      <c r="H222" s="24">
        <f>'CUOTA ARTESANAL'!E24</f>
        <v>237.23500000000001</v>
      </c>
      <c r="I222" s="24">
        <f>'CUOTA ARTESANAL'!F24</f>
        <v>-225</v>
      </c>
      <c r="J222" s="24">
        <f>'CUOTA ARTESANAL'!G24</f>
        <v>12.235000000000014</v>
      </c>
      <c r="K222" s="24">
        <f>'CUOTA ARTESANAL'!H24</f>
        <v>0.47499999999999998</v>
      </c>
      <c r="L222" s="24">
        <f>'CUOTA ARTESANAL'!I24</f>
        <v>11.760000000000014</v>
      </c>
      <c r="M222" s="251">
        <f>'CUOTA ARTESANAL'!J24</f>
        <v>3.8823048630976659E-2</v>
      </c>
      <c r="N222" s="24" t="str">
        <f>'CUOTA ARTESANAL'!K24</f>
        <v>-</v>
      </c>
      <c r="O222" s="26">
        <f>RESUMEN!$B$3</f>
        <v>45481</v>
      </c>
      <c r="P222" s="23">
        <f t="shared" si="19"/>
        <v>2024</v>
      </c>
      <c r="Q222" s="1"/>
    </row>
    <row r="223" spans="1:18" ht="16.5" thickTop="1" thickBot="1">
      <c r="A223" s="2" t="s">
        <v>45</v>
      </c>
      <c r="B223" s="1" t="s">
        <v>39</v>
      </c>
      <c r="C223" s="1" t="s">
        <v>49</v>
      </c>
      <c r="D223" s="1" t="s">
        <v>179</v>
      </c>
      <c r="E223" s="1" t="str">
        <f>+'CUOTA ARTESANAL'!C$25</f>
        <v>STI CALETA EMBARCADERO DE QUINTERO. RSU 05.06.0125</v>
      </c>
      <c r="F223" s="157">
        <v>45296</v>
      </c>
      <c r="G223" s="157">
        <v>45657</v>
      </c>
      <c r="H223" s="24">
        <f>'CUOTA ARTESANAL'!E25</f>
        <v>181.85499999999999</v>
      </c>
      <c r="I223" s="24">
        <f>'CUOTA ARTESANAL'!F25</f>
        <v>0</v>
      </c>
      <c r="J223" s="24">
        <f>'CUOTA ARTESANAL'!G25</f>
        <v>181.85499999999999</v>
      </c>
      <c r="K223" s="24">
        <f>'CUOTA ARTESANAL'!H25</f>
        <v>0</v>
      </c>
      <c r="L223" s="24">
        <f>'CUOTA ARTESANAL'!I25</f>
        <v>181.85499999999999</v>
      </c>
      <c r="M223" s="251">
        <f>'CUOTA ARTESANAL'!J25</f>
        <v>0</v>
      </c>
      <c r="N223" s="24" t="str">
        <f>'CUOTA ARTESANAL'!K25</f>
        <v>-</v>
      </c>
      <c r="O223" s="26">
        <f>RESUMEN!$B$3</f>
        <v>45481</v>
      </c>
      <c r="P223" s="23">
        <f t="shared" ref="P223" si="20">YEAR(O223)</f>
        <v>2024</v>
      </c>
      <c r="Q223" s="1"/>
    </row>
    <row r="224" spans="1:18" ht="16.5" thickTop="1" thickBot="1">
      <c r="A224" s="51" t="s">
        <v>45</v>
      </c>
      <c r="B224" s="49" t="s">
        <v>39</v>
      </c>
      <c r="C224" s="49" t="s">
        <v>49</v>
      </c>
      <c r="D224" s="49" t="s">
        <v>55</v>
      </c>
      <c r="E224" s="49" t="str">
        <f>+'CUOTA ARTESANAL'!C$26</f>
        <v xml:space="preserve"> BOLSON RESIDUAL</v>
      </c>
      <c r="F224" s="157">
        <v>45296</v>
      </c>
      <c r="G224" s="157">
        <v>45657</v>
      </c>
      <c r="H224" s="52">
        <f>'CUOTA ARTESANAL'!E26</f>
        <v>1015.6559999999999</v>
      </c>
      <c r="I224" s="52">
        <f>'CUOTA ARTESANAL'!F26</f>
        <v>0</v>
      </c>
      <c r="J224" s="52">
        <f>'CUOTA ARTESANAL'!G26</f>
        <v>1015.6559999999999</v>
      </c>
      <c r="K224" s="52">
        <f>'CUOTA ARTESANAL'!H26</f>
        <v>44.820999999999998</v>
      </c>
      <c r="L224" s="52">
        <f>'CUOTA ARTESANAL'!I26</f>
        <v>970.83499999999992</v>
      </c>
      <c r="M224" s="250">
        <f>'CUOTA ARTESANAL'!J26</f>
        <v>4.4130099167434642E-2</v>
      </c>
      <c r="N224" s="24" t="str">
        <f>'CUOTA ARTESANAL'!K26</f>
        <v>-</v>
      </c>
      <c r="O224" s="53">
        <f>RESUMEN!$B$3</f>
        <v>45481</v>
      </c>
      <c r="P224" s="49">
        <f t="shared" ref="P224" si="21">YEAR(O224)</f>
        <v>2024</v>
      </c>
      <c r="Q224" s="1"/>
    </row>
    <row r="225" spans="1:17" ht="16.5" thickTop="1" thickBot="1">
      <c r="A225" s="158" t="s">
        <v>45</v>
      </c>
      <c r="B225" s="159" t="s">
        <v>39</v>
      </c>
      <c r="C225" s="159" t="s">
        <v>50</v>
      </c>
      <c r="D225" s="159" t="s">
        <v>42</v>
      </c>
      <c r="E225" s="159" t="str">
        <f>+'CUOTA ARTESANAL'!C$29</f>
        <v>VI REGION</v>
      </c>
      <c r="F225" s="157">
        <v>45296</v>
      </c>
      <c r="G225" s="157">
        <v>45657</v>
      </c>
      <c r="H225" s="161">
        <f>'CUOTA ARTESANAL'!E29</f>
        <v>32</v>
      </c>
      <c r="I225" s="161">
        <f>'CUOTA ARTESANAL'!F29</f>
        <v>0</v>
      </c>
      <c r="J225" s="161">
        <f>'CUOTA ARTESANAL'!G29</f>
        <v>32</v>
      </c>
      <c r="K225" s="161">
        <f>'CUOTA ARTESANAL'!H29</f>
        <v>30.43</v>
      </c>
      <c r="L225" s="161">
        <f>'CUOTA ARTESANAL'!I29</f>
        <v>1.5700000000000003</v>
      </c>
      <c r="M225" s="252">
        <f>'CUOTA ARTESANAL'!J29</f>
        <v>0.95093749999999999</v>
      </c>
      <c r="N225" s="160" t="str">
        <f>'CUOTA ARTESANAL'!K29</f>
        <v>-</v>
      </c>
      <c r="O225" s="162">
        <f>RESUMEN!$B$3</f>
        <v>45481</v>
      </c>
      <c r="P225" s="159">
        <f t="shared" ref="P225" si="22">YEAR(O225)</f>
        <v>2024</v>
      </c>
      <c r="Q225" s="1"/>
    </row>
    <row r="226" spans="1:17" ht="16.5" thickTop="1" thickBot="1">
      <c r="A226" s="158" t="s">
        <v>45</v>
      </c>
      <c r="B226" s="159" t="s">
        <v>39</v>
      </c>
      <c r="C226" s="159" t="s">
        <v>22</v>
      </c>
      <c r="D226" s="159" t="s">
        <v>42</v>
      </c>
      <c r="E226" s="159" t="str">
        <f>+'CUOTA ARTESANAL'!C$31</f>
        <v>VII REGION</v>
      </c>
      <c r="F226" s="157">
        <v>45296</v>
      </c>
      <c r="G226" s="157">
        <v>45657</v>
      </c>
      <c r="H226" s="161">
        <f>'CUOTA ARTESANAL'!E31</f>
        <v>273</v>
      </c>
      <c r="I226" s="161">
        <f>'CUOTA ARTESANAL'!F31</f>
        <v>0</v>
      </c>
      <c r="J226" s="161">
        <f>'CUOTA ARTESANAL'!G31</f>
        <v>273</v>
      </c>
      <c r="K226" s="161">
        <f>'CUOTA ARTESANAL'!H31</f>
        <v>274.334</v>
      </c>
      <c r="L226" s="161">
        <f>'CUOTA ARTESANAL'!I31</f>
        <v>-1.3340000000000032</v>
      </c>
      <c r="M226" s="252">
        <f>'CUOTA ARTESANAL'!J31</f>
        <v>1.0048864468864469</v>
      </c>
      <c r="N226" s="160">
        <f>'CUOTA ARTESANAL'!K31</f>
        <v>45447</v>
      </c>
      <c r="O226" s="162">
        <f>RESUMEN!$B$3</f>
        <v>45481</v>
      </c>
      <c r="P226" s="159">
        <f t="shared" ref="P226:P229" si="23">YEAR(O226)</f>
        <v>2024</v>
      </c>
      <c r="Q226" s="1"/>
    </row>
    <row r="227" spans="1:17" ht="16.5" thickTop="1" thickBot="1">
      <c r="A227" s="158" t="s">
        <v>45</v>
      </c>
      <c r="B227" s="159" t="s">
        <v>39</v>
      </c>
      <c r="C227" s="159" t="s">
        <v>23</v>
      </c>
      <c r="D227" s="159" t="s">
        <v>42</v>
      </c>
      <c r="E227" s="159" t="str">
        <f>+'CUOTA ARTESANAL'!C$33</f>
        <v>VIII-XVI REGION</v>
      </c>
      <c r="F227" s="157">
        <v>45296</v>
      </c>
      <c r="G227" s="157">
        <v>45657</v>
      </c>
      <c r="H227" s="161">
        <f>'CUOTA ARTESANAL'!E33</f>
        <v>17820</v>
      </c>
      <c r="I227" s="161">
        <f>'CUOTA ARTESANAL'!F33</f>
        <v>0</v>
      </c>
      <c r="J227" s="161">
        <f>'CUOTA ARTESANAL'!G33</f>
        <v>17820</v>
      </c>
      <c r="K227" s="161">
        <f>'CUOTA ARTESANAL'!H33</f>
        <v>20575.974999999999</v>
      </c>
      <c r="L227" s="161">
        <f>'CUOTA ARTESANAL'!I33</f>
        <v>-2755.9749999999985</v>
      </c>
      <c r="M227" s="252">
        <f>'CUOTA ARTESANAL'!J33</f>
        <v>1.1546562850729516</v>
      </c>
      <c r="N227" s="160">
        <f>'CUOTA ARTESANAL'!K33</f>
        <v>45297</v>
      </c>
      <c r="O227" s="162">
        <f>RESUMEN!$B$3</f>
        <v>45481</v>
      </c>
      <c r="P227" s="159">
        <f t="shared" si="23"/>
        <v>2024</v>
      </c>
      <c r="Q227" s="1"/>
    </row>
    <row r="228" spans="1:17" ht="16.5" thickTop="1" thickBot="1">
      <c r="A228" s="158" t="s">
        <v>45</v>
      </c>
      <c r="B228" s="159" t="s">
        <v>39</v>
      </c>
      <c r="C228" s="159" t="s">
        <v>7</v>
      </c>
      <c r="D228" s="159" t="s">
        <v>42</v>
      </c>
      <c r="E228" s="165" t="str">
        <f>+'CUOTA ARTESANAL'!C$35</f>
        <v>IX REGION</v>
      </c>
      <c r="F228" s="157">
        <v>45296</v>
      </c>
      <c r="G228" s="157">
        <v>45657</v>
      </c>
      <c r="H228" s="161">
        <f>'CUOTA ARTESANAL'!E35</f>
        <v>401</v>
      </c>
      <c r="I228" s="161">
        <f>'CUOTA ARTESANAL'!F35</f>
        <v>0</v>
      </c>
      <c r="J228" s="161">
        <f>'CUOTA ARTESANAL'!G35</f>
        <v>401</v>
      </c>
      <c r="K228" s="161">
        <f>'CUOTA ARTESANAL'!H35</f>
        <v>11.369</v>
      </c>
      <c r="L228" s="161">
        <f>'CUOTA ARTESANAL'!I35</f>
        <v>389.63099999999997</v>
      </c>
      <c r="M228" s="252">
        <f>'CUOTA ARTESANAL'!J35</f>
        <v>2.8351620947630923E-2</v>
      </c>
      <c r="N228" s="160" t="str">
        <f>'CUOTA ARTESANAL'!K35</f>
        <v>-</v>
      </c>
      <c r="O228" s="162">
        <f>RESUMEN!$B$3</f>
        <v>45481</v>
      </c>
      <c r="P228" s="159">
        <f t="shared" si="23"/>
        <v>2024</v>
      </c>
      <c r="Q228" s="1"/>
    </row>
    <row r="229" spans="1:17" ht="16.5" thickTop="1" thickBot="1">
      <c r="A229" s="159" t="s">
        <v>46</v>
      </c>
      <c r="B229" s="159" t="s">
        <v>39</v>
      </c>
      <c r="C229" s="159" t="s">
        <v>8</v>
      </c>
      <c r="D229" s="159" t="s">
        <v>42</v>
      </c>
      <c r="E229" s="159" t="str">
        <f>+'CUOTA ARTESANAL'!C$37</f>
        <v>XIV REGION</v>
      </c>
      <c r="F229" s="157">
        <v>45296</v>
      </c>
      <c r="G229" s="157">
        <v>45657</v>
      </c>
      <c r="H229" s="161">
        <f>'CUOTA ARTESANAL'!E37</f>
        <v>2084</v>
      </c>
      <c r="I229" s="161">
        <f>'CUOTA ARTESANAL'!F37</f>
        <v>0</v>
      </c>
      <c r="J229" s="161">
        <f>'CUOTA ARTESANAL'!G37</f>
        <v>2084</v>
      </c>
      <c r="K229" s="161">
        <f>'CUOTA ARTESANAL'!H37</f>
        <v>2122.7139999999999</v>
      </c>
      <c r="L229" s="161">
        <f>'CUOTA ARTESANAL'!I37</f>
        <v>-38.713999999999942</v>
      </c>
      <c r="M229" s="252">
        <f>'CUOTA ARTESANAL'!J37</f>
        <v>1.0185767754318618</v>
      </c>
      <c r="N229" s="160">
        <f>'CUOTA ARTESANAL'!K37</f>
        <v>45342</v>
      </c>
      <c r="O229" s="162">
        <f>RESUMEN!$B$3</f>
        <v>45481</v>
      </c>
      <c r="P229" s="159">
        <f t="shared" si="23"/>
        <v>2024</v>
      </c>
      <c r="Q229" s="1"/>
    </row>
    <row r="230" spans="1:17" ht="16.5" thickTop="1" thickBot="1">
      <c r="A230" s="23" t="s">
        <v>46</v>
      </c>
      <c r="B230" s="23" t="s">
        <v>39</v>
      </c>
      <c r="C230" s="23" t="s">
        <v>17</v>
      </c>
      <c r="D230" s="23" t="s">
        <v>179</v>
      </c>
      <c r="E230" s="23" t="str">
        <f>+'CUOTA ARTESANAL'!C39</f>
        <v>ARMAR AG. RAG 320-10</v>
      </c>
      <c r="F230" s="157">
        <v>45296</v>
      </c>
      <c r="G230" s="157">
        <v>45657</v>
      </c>
      <c r="H230" s="24">
        <f>'CUOTA ARTESANAL'!E39</f>
        <v>213.39599999999999</v>
      </c>
      <c r="I230" s="24">
        <f>'CUOTA ARTESANAL'!F39</f>
        <v>0</v>
      </c>
      <c r="J230" s="24">
        <f>'CUOTA ARTESANAL'!G39</f>
        <v>213.39599999999999</v>
      </c>
      <c r="K230" s="24">
        <f>'CUOTA ARTESANAL'!H39</f>
        <v>0.5</v>
      </c>
      <c r="L230" s="24">
        <f>'CUOTA ARTESANAL'!I39</f>
        <v>212.89599999999999</v>
      </c>
      <c r="M230" s="253">
        <f>'CUOTA ARTESANAL'!J39</f>
        <v>2.3430617256180999E-3</v>
      </c>
      <c r="N230" s="25" t="str">
        <f>'CUOTA ARTESANAL'!K39</f>
        <v>-</v>
      </c>
      <c r="O230" s="26">
        <f>RESUMEN!$B$3</f>
        <v>45481</v>
      </c>
      <c r="P230" s="23">
        <f t="shared" ref="P230:P238" si="24">YEAR(O230)</f>
        <v>2024</v>
      </c>
      <c r="Q230" s="1"/>
    </row>
    <row r="231" spans="1:17" ht="16.5" thickTop="1" thickBot="1">
      <c r="A231" s="1" t="s">
        <v>46</v>
      </c>
      <c r="B231" s="1" t="s">
        <v>39</v>
      </c>
      <c r="C231" s="1" t="s">
        <v>17</v>
      </c>
      <c r="D231" s="1" t="s">
        <v>179</v>
      </c>
      <c r="E231" s="1" t="str">
        <f>+'CUOTA ARTESANAL'!C40</f>
        <v>ASOGFER AG. RAG 310-10</v>
      </c>
      <c r="F231" s="157">
        <v>45296</v>
      </c>
      <c r="G231" s="157">
        <v>45657</v>
      </c>
      <c r="H231" s="3">
        <f>'CUOTA ARTESANAL'!E40</f>
        <v>1008.174</v>
      </c>
      <c r="I231" s="3">
        <f>'CUOTA ARTESANAL'!F40</f>
        <v>-1000</v>
      </c>
      <c r="J231" s="3">
        <f>'CUOTA ARTESANAL'!G40</f>
        <v>8.1739999999999782</v>
      </c>
      <c r="K231" s="3">
        <f>'CUOTA ARTESANAL'!H40</f>
        <v>0</v>
      </c>
      <c r="L231" s="3">
        <f>'CUOTA ARTESANAL'!I40</f>
        <v>8.1739999999999782</v>
      </c>
      <c r="M231" s="248">
        <f>'CUOTA ARTESANAL'!J40</f>
        <v>0</v>
      </c>
      <c r="N231" s="25" t="str">
        <f>'CUOTA ARTESANAL'!K40</f>
        <v>-</v>
      </c>
      <c r="O231" s="5">
        <f>RESUMEN!$B$3</f>
        <v>45481</v>
      </c>
      <c r="P231" s="1">
        <f t="shared" si="24"/>
        <v>2024</v>
      </c>
      <c r="Q231" s="1"/>
    </row>
    <row r="232" spans="1:17" ht="16.5" thickTop="1" thickBot="1">
      <c r="A232" s="1" t="s">
        <v>46</v>
      </c>
      <c r="B232" s="1" t="s">
        <v>39</v>
      </c>
      <c r="C232" s="1" t="s">
        <v>17</v>
      </c>
      <c r="D232" s="1" t="s">
        <v>179</v>
      </c>
      <c r="E232" s="1" t="str">
        <f>+'CUOTA ARTESANAL'!C41</f>
        <v>AGARMAR.  RAG 156-10</v>
      </c>
      <c r="F232" s="157">
        <v>45296</v>
      </c>
      <c r="G232" s="157">
        <v>45657</v>
      </c>
      <c r="H232" s="3">
        <f>'CUOTA ARTESANAL'!E41</f>
        <v>6154.835</v>
      </c>
      <c r="I232" s="3">
        <f>'CUOTA ARTESANAL'!F41</f>
        <v>-5940</v>
      </c>
      <c r="J232" s="3">
        <f>'CUOTA ARTESANAL'!G41</f>
        <v>214.83500000000004</v>
      </c>
      <c r="K232" s="3">
        <f>'CUOTA ARTESANAL'!H41</f>
        <v>0</v>
      </c>
      <c r="L232" s="3">
        <f>'CUOTA ARTESANAL'!I41</f>
        <v>214.83500000000004</v>
      </c>
      <c r="M232" s="84">
        <f>'CUOTA ARTESANAL'!J41</f>
        <v>0</v>
      </c>
      <c r="N232" s="25" t="str">
        <f>'CUOTA ARTESANAL'!K41</f>
        <v>-</v>
      </c>
      <c r="O232" s="5">
        <f>RESUMEN!$B$3</f>
        <v>45481</v>
      </c>
      <c r="P232" s="1">
        <f t="shared" si="24"/>
        <v>2024</v>
      </c>
      <c r="Q232" s="1"/>
    </row>
    <row r="233" spans="1:17" ht="16.5" thickTop="1" thickBot="1">
      <c r="A233" s="1" t="s">
        <v>46</v>
      </c>
      <c r="B233" s="1" t="s">
        <v>39</v>
      </c>
      <c r="C233" s="1" t="s">
        <v>17</v>
      </c>
      <c r="D233" s="1" t="s">
        <v>179</v>
      </c>
      <c r="E233" s="1" t="str">
        <f>+'CUOTA ARTESANAL'!C42</f>
        <v>PESCA AUSTRAL. RAG 326-10</v>
      </c>
      <c r="F233" s="157">
        <v>45296</v>
      </c>
      <c r="G233" s="157">
        <v>45657</v>
      </c>
      <c r="H233" s="3">
        <f>'CUOTA ARTESANAL'!E42</f>
        <v>1028.501</v>
      </c>
      <c r="I233" s="3">
        <f>'CUOTA ARTESANAL'!F42</f>
        <v>-1000</v>
      </c>
      <c r="J233" s="3">
        <f>'CUOTA ARTESANAL'!G42</f>
        <v>28.500999999999976</v>
      </c>
      <c r="K233" s="3">
        <f>'CUOTA ARTESANAL'!H42</f>
        <v>0</v>
      </c>
      <c r="L233" s="3">
        <f>'CUOTA ARTESANAL'!I42</f>
        <v>28.500999999999976</v>
      </c>
      <c r="M233" s="248">
        <f>'CUOTA ARTESANAL'!J42</f>
        <v>0</v>
      </c>
      <c r="N233" s="25" t="str">
        <f>'CUOTA ARTESANAL'!K42</f>
        <v>-</v>
      </c>
      <c r="O233" s="5">
        <f>RESUMEN!$B$3</f>
        <v>45481</v>
      </c>
      <c r="P233" s="1">
        <f t="shared" si="24"/>
        <v>2024</v>
      </c>
      <c r="Q233" s="1"/>
    </row>
    <row r="234" spans="1:17" ht="16.5" thickTop="1" thickBot="1">
      <c r="A234" s="1" t="s">
        <v>46</v>
      </c>
      <c r="B234" s="1" t="s">
        <v>39</v>
      </c>
      <c r="C234" s="1" t="s">
        <v>17</v>
      </c>
      <c r="D234" s="1" t="s">
        <v>179</v>
      </c>
      <c r="E234" s="1" t="str">
        <f>+'CUOTA ARTESANAL'!C43</f>
        <v>ASOGPESCA ANCUD. AG 4266</v>
      </c>
      <c r="F234" s="157">
        <v>45296</v>
      </c>
      <c r="G234" s="157">
        <v>45657</v>
      </c>
      <c r="H234" s="3">
        <f>'CUOTA ARTESANAL'!E43</f>
        <v>3261.0889999999999</v>
      </c>
      <c r="I234" s="3">
        <f>'CUOTA ARTESANAL'!F43</f>
        <v>-3160</v>
      </c>
      <c r="J234" s="3">
        <f>'CUOTA ARTESANAL'!G43</f>
        <v>101.08899999999994</v>
      </c>
      <c r="K234" s="3">
        <f>'CUOTA ARTESANAL'!H43</f>
        <v>0</v>
      </c>
      <c r="L234" s="3">
        <f>'CUOTA ARTESANAL'!I43</f>
        <v>101.08899999999994</v>
      </c>
      <c r="M234" s="248">
        <f>'CUOTA ARTESANAL'!J43</f>
        <v>0.9690014593284636</v>
      </c>
      <c r="N234" s="25" t="str">
        <f>'CUOTA ARTESANAL'!K43</f>
        <v>-</v>
      </c>
      <c r="O234" s="5">
        <f>RESUMEN!$B$3</f>
        <v>45481</v>
      </c>
      <c r="P234" s="1">
        <f t="shared" si="24"/>
        <v>2024</v>
      </c>
      <c r="Q234" s="1"/>
    </row>
    <row r="235" spans="1:17" ht="16.5" thickTop="1" thickBot="1">
      <c r="A235" s="1" t="s">
        <v>46</v>
      </c>
      <c r="B235" s="1" t="s">
        <v>39</v>
      </c>
      <c r="C235" s="1" t="s">
        <v>17</v>
      </c>
      <c r="D235" s="1" t="s">
        <v>179</v>
      </c>
      <c r="E235" s="1" t="str">
        <f>+'CUOTA ARTESANAL'!C44</f>
        <v>STI PECERCAL RSU 10.01.0948</v>
      </c>
      <c r="F235" s="157">
        <v>45296</v>
      </c>
      <c r="G235" s="157">
        <v>45657</v>
      </c>
      <c r="H235" s="3">
        <f>'CUOTA ARTESANAL'!E44</f>
        <v>1549.779</v>
      </c>
      <c r="I235" s="3">
        <f>'CUOTA ARTESANAL'!F44</f>
        <v>-1549.779</v>
      </c>
      <c r="J235" s="3">
        <f>'CUOTA ARTESANAL'!G44</f>
        <v>0</v>
      </c>
      <c r="K235" s="3">
        <f>'CUOTA ARTESANAL'!H44</f>
        <v>0</v>
      </c>
      <c r="L235" s="3">
        <f>'CUOTA ARTESANAL'!I44</f>
        <v>0</v>
      </c>
      <c r="M235" s="248">
        <f>'CUOTA ARTESANAL'!J44</f>
        <v>1</v>
      </c>
      <c r="N235" s="25">
        <f>'CUOTA ARTESANAL'!K44</f>
        <v>45341</v>
      </c>
      <c r="O235" s="5">
        <f>RESUMEN!$B$3</f>
        <v>45481</v>
      </c>
      <c r="P235" s="1">
        <f t="shared" si="24"/>
        <v>2024</v>
      </c>
      <c r="Q235" s="1"/>
    </row>
    <row r="236" spans="1:17" ht="16.5" thickTop="1" thickBot="1">
      <c r="A236" s="1" t="s">
        <v>46</v>
      </c>
      <c r="B236" s="1" t="s">
        <v>39</v>
      </c>
      <c r="C236" s="1" t="s">
        <v>17</v>
      </c>
      <c r="D236" s="1" t="s">
        <v>179</v>
      </c>
      <c r="E236" s="1" t="str">
        <f>+'CUOTA ARTESANAL'!C45</f>
        <v>ST PUERTO MONTT. RSU 10.01.05.91</v>
      </c>
      <c r="F236" s="157">
        <v>45296</v>
      </c>
      <c r="G236" s="157">
        <v>45657</v>
      </c>
      <c r="H236" s="3">
        <f>'CUOTA ARTESANAL'!E45</f>
        <v>5.5209999999999999</v>
      </c>
      <c r="I236" s="3">
        <f>'CUOTA ARTESANAL'!F45</f>
        <v>0</v>
      </c>
      <c r="J236" s="3">
        <f>'CUOTA ARTESANAL'!G45</f>
        <v>5.5209999999999999</v>
      </c>
      <c r="K236" s="3">
        <f>'CUOTA ARTESANAL'!H45</f>
        <v>0</v>
      </c>
      <c r="L236" s="3">
        <f>'CUOTA ARTESANAL'!I45</f>
        <v>5.5209999999999999</v>
      </c>
      <c r="M236" s="248">
        <f>'CUOTA ARTESANAL'!J45</f>
        <v>0</v>
      </c>
      <c r="N236" s="25" t="str">
        <f>'CUOTA ARTESANAL'!K45</f>
        <v>-</v>
      </c>
      <c r="O236" s="5">
        <f>RESUMEN!$B$3</f>
        <v>45481</v>
      </c>
      <c r="P236" s="1">
        <f t="shared" ref="P236" si="25">YEAR(O236)</f>
        <v>2024</v>
      </c>
      <c r="Q236" s="1"/>
    </row>
    <row r="237" spans="1:17" ht="16.5" thickTop="1" thickBot="1">
      <c r="A237" s="1" t="s">
        <v>46</v>
      </c>
      <c r="B237" s="1" t="s">
        <v>39</v>
      </c>
      <c r="C237" s="1" t="s">
        <v>17</v>
      </c>
      <c r="D237" s="1" t="s">
        <v>179</v>
      </c>
      <c r="E237" s="1" t="str">
        <f>+'CUOTA ARTESANAL'!C46</f>
        <v>STI PROVEEDORES MARITIMOS DE QUILLAIPE 10.01.0835</v>
      </c>
      <c r="F237" s="157">
        <v>45296</v>
      </c>
      <c r="G237" s="157">
        <v>45657</v>
      </c>
      <c r="H237" s="3">
        <f>'CUOTA ARTESANAL'!E46</f>
        <v>207.917</v>
      </c>
      <c r="I237" s="3">
        <f>'CUOTA ARTESANAL'!F46</f>
        <v>-200</v>
      </c>
      <c r="J237" s="3">
        <f>'CUOTA ARTESANAL'!G46</f>
        <v>7.9170000000000016</v>
      </c>
      <c r="K237" s="3">
        <f>'CUOTA ARTESANAL'!H46</f>
        <v>0</v>
      </c>
      <c r="L237" s="3">
        <f>'CUOTA ARTESANAL'!I46</f>
        <v>7.9170000000000016</v>
      </c>
      <c r="M237" s="248">
        <f>'CUOTA ARTESANAL'!J46</f>
        <v>0</v>
      </c>
      <c r="N237" s="25" t="str">
        <f>'CUOTA ARTESANAL'!K46</f>
        <v>-</v>
      </c>
      <c r="O237" s="5">
        <f>RESUMEN!$B$3</f>
        <v>45481</v>
      </c>
      <c r="P237" s="1">
        <f t="shared" si="24"/>
        <v>2024</v>
      </c>
      <c r="Q237" s="1"/>
    </row>
    <row r="238" spans="1:17" ht="15.75" customHeight="1" thickTop="1" thickBot="1">
      <c r="A238" s="27" t="s">
        <v>46</v>
      </c>
      <c r="B238" s="27" t="s">
        <v>39</v>
      </c>
      <c r="C238" s="27" t="s">
        <v>17</v>
      </c>
      <c r="D238" s="27" t="s">
        <v>179</v>
      </c>
      <c r="E238" s="27" t="str">
        <f>+'CUOTA ARTESANAL'!C47</f>
        <v xml:space="preserve"> BOLSON RESIDUAL</v>
      </c>
      <c r="F238" s="157">
        <v>45296</v>
      </c>
      <c r="G238" s="157">
        <v>45657</v>
      </c>
      <c r="H238" s="28">
        <f>'CUOTA ARTESANAL'!E47</f>
        <v>512.81399999999996</v>
      </c>
      <c r="I238" s="28">
        <f>'CUOTA ARTESANAL'!F47</f>
        <v>0</v>
      </c>
      <c r="J238" s="28">
        <f>'CUOTA ARTESANAL'!G47</f>
        <v>512.81399999999996</v>
      </c>
      <c r="K238" s="28">
        <f>'CUOTA ARTESANAL'!H47</f>
        <v>385.15600000000001</v>
      </c>
      <c r="L238" s="28">
        <f>'CUOTA ARTESANAL'!I47</f>
        <v>127.65799999999996</v>
      </c>
      <c r="M238" s="255">
        <f>'CUOTA ARTESANAL'!J47</f>
        <v>0.75106373850947916</v>
      </c>
      <c r="N238" s="25" t="str">
        <f>'CUOTA ARTESANAL'!K47</f>
        <v>-</v>
      </c>
      <c r="O238" s="29">
        <f>RESUMEN!$B$3</f>
        <v>45481</v>
      </c>
      <c r="P238" s="27">
        <f t="shared" si="24"/>
        <v>2024</v>
      </c>
      <c r="Q238" s="27"/>
    </row>
  </sheetData>
  <autoFilter ref="A1:Q238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</vt:lpstr>
      <vt:lpstr>CUOTA ARTESANAL</vt:lpstr>
      <vt:lpstr>CUOTA INDUSTRIAL</vt:lpstr>
      <vt:lpstr>Hoja1</vt:lpstr>
      <vt:lpstr>JUREL OROP-PS</vt:lpstr>
      <vt:lpstr>CESIONES INDIVIDUALES</vt:lpstr>
      <vt:lpstr>CONSUMO HUMANO</vt:lpstr>
      <vt:lpstr>MOVIMIENTO IND</vt:lpstr>
      <vt:lpstr>Pag. Web</vt:lpstr>
      <vt:lpstr>'MOVIMIENTO IND'!Área_de_impresión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PEREZ SALGADO, NICOLAS RODRIGO</cp:lastModifiedBy>
  <cp:lastPrinted>2023-05-31T21:10:24Z</cp:lastPrinted>
  <dcterms:created xsi:type="dcterms:W3CDTF">2018-02-08T15:15:02Z</dcterms:created>
  <dcterms:modified xsi:type="dcterms:W3CDTF">2024-07-11T17:48:39Z</dcterms:modified>
</cp:coreProperties>
</file>