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etus\Control_cuota\2024\1_Planillas_control_cuotas\2024\2.- Pelagicos\14- Anchoveta-Sardina Española XV-IV\"/>
    </mc:Choice>
  </mc:AlternateContent>
  <bookViews>
    <workbookView xWindow="-120" yWindow="-120" windowWidth="20730" windowHeight="11160" tabRatio="831" activeTab="3"/>
  </bookViews>
  <sheets>
    <sheet name="Resumen" sheetId="1" r:id="rId1"/>
    <sheet name="Artesanal Anchoveta XV-IV" sheetId="2" r:id="rId2"/>
    <sheet name="Artesanal S.española XV-IV" sheetId="7" r:id="rId3"/>
    <sheet name="Cesiones ind y colec" sheetId="5" r:id="rId4"/>
    <sheet name="Industrial" sheetId="3" r:id="rId5"/>
    <sheet name="MOVIMIENTO INDUSTRIAL" sheetId="14" r:id="rId6"/>
    <sheet name="Remanente Anchoveta" sheetId="9" r:id="rId7"/>
    <sheet name="Remanente Ces. Ind. Anchoveta " sheetId="13" r:id="rId8"/>
    <sheet name="P. Investigación" sheetId="4" r:id="rId9"/>
    <sheet name="Publicacion web" sheetId="6" r:id="rId10"/>
  </sheets>
  <definedNames>
    <definedName name="_xlnm._FilterDatabase" localSheetId="3" hidden="1">'Cesiones ind y colec'!$B$2:$O$168</definedName>
    <definedName name="_xlnm._FilterDatabase" localSheetId="9" hidden="1">'Publicacion web'!$A$1:$Q$62</definedName>
  </definedNames>
  <calcPr calcId="162913"/>
</workbook>
</file>

<file path=xl/calcChain.xml><?xml version="1.0" encoding="utf-8"?>
<calcChain xmlns="http://schemas.openxmlformats.org/spreadsheetml/2006/main">
  <c r="E35" i="1" l="1"/>
  <c r="U6" i="5"/>
  <c r="T5" i="5"/>
  <c r="F14" i="3"/>
  <c r="I12" i="7"/>
  <c r="I33" i="1" l="1"/>
  <c r="H6" i="6" l="1"/>
  <c r="K6" i="6"/>
  <c r="O6" i="6"/>
  <c r="E6" i="6"/>
  <c r="H11" i="14" l="1"/>
  <c r="F11" i="14"/>
  <c r="F10" i="14"/>
  <c r="H10" i="14" s="1"/>
  <c r="F9" i="14"/>
  <c r="H9" i="14" s="1"/>
  <c r="F8" i="14"/>
  <c r="H8" i="14" s="1"/>
  <c r="F7" i="14"/>
  <c r="N15" i="3" l="1"/>
  <c r="L14" i="3"/>
  <c r="M14" i="3" s="1"/>
  <c r="P14" i="3" s="1"/>
  <c r="K15" i="3"/>
  <c r="G14" i="3"/>
  <c r="I14" i="3" s="1"/>
  <c r="H7" i="14"/>
  <c r="F15" i="3" s="1"/>
  <c r="I6" i="6" s="1"/>
  <c r="G15" i="3" l="1"/>
  <c r="J15" i="3" s="1"/>
  <c r="M6" i="6" s="1"/>
  <c r="L15" i="3"/>
  <c r="M15" i="3" s="1"/>
  <c r="P15" i="3" s="1"/>
  <c r="O15" i="3"/>
  <c r="N109" i="5"/>
  <c r="I15" i="3" l="1"/>
  <c r="L6" i="6" s="1"/>
  <c r="J6" i="6"/>
  <c r="N122" i="5"/>
  <c r="O122" i="5" s="1"/>
  <c r="H12" i="7" l="1"/>
  <c r="K156" i="5" l="1"/>
  <c r="J156" i="5"/>
  <c r="G29" i="3"/>
  <c r="I29" i="3"/>
  <c r="F29" i="3"/>
  <c r="N139" i="5"/>
  <c r="O139" i="5" s="1"/>
  <c r="F36" i="3"/>
  <c r="T6" i="5"/>
  <c r="E23" i="1" l="1"/>
  <c r="F12" i="3" l="1"/>
  <c r="K115" i="5"/>
  <c r="J115" i="5"/>
  <c r="T8" i="5"/>
  <c r="O109" i="5"/>
  <c r="G35" i="3"/>
  <c r="F35" i="3"/>
  <c r="F13" i="3" l="1"/>
  <c r="K106" i="5"/>
  <c r="J106" i="5"/>
  <c r="N30" i="3" l="1"/>
  <c r="O30" i="3" s="1"/>
  <c r="P30" i="3"/>
  <c r="L30" i="3"/>
  <c r="M30" i="3" s="1"/>
  <c r="O21" i="6"/>
  <c r="M21" i="6"/>
  <c r="L21" i="6"/>
  <c r="K21" i="6"/>
  <c r="I21" i="6"/>
  <c r="J21" i="6"/>
  <c r="H21" i="6"/>
  <c r="E21" i="6"/>
  <c r="F30" i="3"/>
  <c r="F28" i="3"/>
  <c r="F48" i="3"/>
  <c r="G30" i="3"/>
  <c r="J30" i="3" s="1"/>
  <c r="I30" i="3"/>
  <c r="K30" i="3"/>
  <c r="G16" i="1" l="1"/>
  <c r="H37" i="6" l="1"/>
  <c r="I37" i="6"/>
  <c r="J37" i="6"/>
  <c r="K37" i="6"/>
  <c r="L37" i="6"/>
  <c r="M37" i="6"/>
  <c r="O37" i="6"/>
  <c r="E37" i="6"/>
  <c r="N46" i="3"/>
  <c r="O46" i="3" s="1"/>
  <c r="M46" i="3"/>
  <c r="L46" i="3"/>
  <c r="G46" i="3"/>
  <c r="I46" i="3" s="1"/>
  <c r="K46" i="3"/>
  <c r="F47" i="3"/>
  <c r="P46" i="3" l="1"/>
  <c r="J46" i="3"/>
  <c r="G16" i="3"/>
  <c r="J16" i="3"/>
  <c r="K16" i="3"/>
  <c r="L16" i="3"/>
  <c r="F19" i="1" l="1"/>
  <c r="G14" i="1"/>
  <c r="K100" i="5" l="1"/>
  <c r="J100" i="5"/>
  <c r="L13" i="3"/>
  <c r="K13" i="3"/>
  <c r="K12" i="3"/>
  <c r="K11" i="3"/>
  <c r="K93" i="5"/>
  <c r="K50" i="5"/>
  <c r="J93" i="5"/>
  <c r="M13" i="3" l="1"/>
  <c r="P13" i="3" s="1"/>
  <c r="J50" i="5"/>
  <c r="K13" i="5"/>
  <c r="J5" i="5"/>
  <c r="J13" i="5"/>
  <c r="T5" i="3"/>
  <c r="K12" i="7" l="1"/>
  <c r="F44" i="3" l="1"/>
  <c r="W6" i="5"/>
  <c r="N26" i="5"/>
  <c r="O26" i="5" s="1"/>
  <c r="F39" i="3"/>
  <c r="N21" i="5"/>
  <c r="V6" i="5" l="1"/>
  <c r="H12" i="1"/>
  <c r="G12" i="1"/>
  <c r="O21" i="5"/>
  <c r="U5" i="5" l="1"/>
  <c r="W5" i="5" s="1"/>
  <c r="U8" i="5"/>
  <c r="V8" i="5" l="1"/>
  <c r="V5" i="5"/>
  <c r="W8" i="5"/>
  <c r="H10" i="1"/>
  <c r="G10" i="1"/>
  <c r="H33" i="1"/>
  <c r="G34" i="1"/>
  <c r="F34" i="1"/>
  <c r="G33" i="1"/>
  <c r="K5" i="5"/>
  <c r="F33" i="1" l="1"/>
  <c r="O49" i="6"/>
  <c r="K49" i="6"/>
  <c r="I49" i="6"/>
  <c r="H49" i="6"/>
  <c r="E49" i="6"/>
  <c r="H13" i="2"/>
  <c r="L13" i="2" s="1"/>
  <c r="M49" i="6" s="1"/>
  <c r="N13" i="2"/>
  <c r="K13" i="2" l="1"/>
  <c r="L49" i="6" s="1"/>
  <c r="J49" i="6"/>
  <c r="O10" i="6"/>
  <c r="I10" i="6"/>
  <c r="K10" i="6"/>
  <c r="H10" i="6"/>
  <c r="E10" i="6"/>
  <c r="H7" i="6"/>
  <c r="I16" i="3" l="1"/>
  <c r="E38" i="6"/>
  <c r="H38" i="6"/>
  <c r="K38" i="6"/>
  <c r="O38" i="6"/>
  <c r="G47" i="3"/>
  <c r="I47" i="3" s="1"/>
  <c r="L38" i="6" s="1"/>
  <c r="K47" i="3"/>
  <c r="N47" i="3"/>
  <c r="I38" i="6"/>
  <c r="E23" i="6"/>
  <c r="H23" i="6"/>
  <c r="I23" i="6"/>
  <c r="K23" i="6"/>
  <c r="O23" i="6"/>
  <c r="L32" i="3"/>
  <c r="G32" i="3"/>
  <c r="J32" i="3" s="1"/>
  <c r="M23" i="6" s="1"/>
  <c r="K32" i="3"/>
  <c r="N32" i="3"/>
  <c r="J38" i="6" l="1"/>
  <c r="L47" i="3"/>
  <c r="M47" i="3" s="1"/>
  <c r="M32" i="3"/>
  <c r="O32" i="3" s="1"/>
  <c r="J23" i="6"/>
  <c r="J47" i="3"/>
  <c r="M38" i="6" s="1"/>
  <c r="I32" i="3"/>
  <c r="L23" i="6" s="1"/>
  <c r="O47" i="3" l="1"/>
  <c r="P47" i="3"/>
  <c r="P32" i="3"/>
  <c r="N55" i="6"/>
  <c r="G19" i="3" l="1"/>
  <c r="K19" i="3"/>
  <c r="N19" i="3"/>
  <c r="I19" i="3" l="1"/>
  <c r="L10" i="6" s="1"/>
  <c r="J10" i="6"/>
  <c r="L19" i="3"/>
  <c r="M19" i="3" s="1"/>
  <c r="J19" i="3"/>
  <c r="M10" i="6" s="1"/>
  <c r="O19" i="3" l="1"/>
  <c r="P19" i="3"/>
  <c r="H48" i="6" l="1"/>
  <c r="I48" i="6"/>
  <c r="K48" i="6"/>
  <c r="O48" i="6"/>
  <c r="E48" i="6"/>
  <c r="N12" i="2"/>
  <c r="O12" i="2"/>
  <c r="Q12" i="2"/>
  <c r="H12" i="2"/>
  <c r="J48" i="6" s="1"/>
  <c r="K12" i="2" l="1"/>
  <c r="L48" i="6" s="1"/>
  <c r="L12" i="2"/>
  <c r="M48" i="6" s="1"/>
  <c r="P12" i="2"/>
  <c r="S12" i="2" s="1"/>
  <c r="R12" i="2" l="1"/>
  <c r="K4" i="6" l="1"/>
  <c r="O4" i="6"/>
  <c r="K5" i="6"/>
  <c r="O5" i="6"/>
  <c r="K7" i="6"/>
  <c r="O7" i="6"/>
  <c r="I4" i="6"/>
  <c r="I5" i="6"/>
  <c r="H4" i="6"/>
  <c r="H5" i="6"/>
  <c r="E4" i="6"/>
  <c r="E5" i="6"/>
  <c r="N13" i="3"/>
  <c r="K14" i="3"/>
  <c r="N14" i="3"/>
  <c r="G13" i="3"/>
  <c r="J14" i="3"/>
  <c r="M5" i="6" s="1"/>
  <c r="E17" i="3"/>
  <c r="H25" i="1"/>
  <c r="E2" i="6"/>
  <c r="E3" i="6"/>
  <c r="E7" i="6"/>
  <c r="J13" i="3" l="1"/>
  <c r="I13" i="3"/>
  <c r="J4" i="6"/>
  <c r="L5" i="6"/>
  <c r="J5" i="6"/>
  <c r="H61" i="6"/>
  <c r="I61" i="6"/>
  <c r="K61" i="6"/>
  <c r="O61" i="6"/>
  <c r="K57" i="6"/>
  <c r="I57" i="6"/>
  <c r="H57" i="6"/>
  <c r="O57" i="6"/>
  <c r="H51" i="6"/>
  <c r="I51" i="6"/>
  <c r="K51" i="6"/>
  <c r="O51" i="6"/>
  <c r="L4" i="6" l="1"/>
  <c r="M4" i="6"/>
  <c r="O14" i="3"/>
  <c r="O44" i="6"/>
  <c r="N44" i="6"/>
  <c r="K44" i="6"/>
  <c r="I44" i="6"/>
  <c r="H44" i="6"/>
  <c r="O13" i="3" l="1"/>
  <c r="I14" i="1"/>
  <c r="N8" i="2" l="1"/>
  <c r="H16" i="1" l="1"/>
  <c r="H14" i="1"/>
  <c r="J10" i="1"/>
  <c r="J12" i="1" l="1"/>
  <c r="J14" i="1"/>
  <c r="J16" i="1"/>
  <c r="I16" i="1" l="1"/>
  <c r="I10" i="1" l="1"/>
  <c r="O50" i="6"/>
  <c r="K50" i="6"/>
  <c r="I50" i="6"/>
  <c r="H50" i="6"/>
  <c r="E50" i="6"/>
  <c r="O14" i="2"/>
  <c r="Q14" i="2"/>
  <c r="H14" i="2"/>
  <c r="N14" i="2"/>
  <c r="L14" i="2" l="1"/>
  <c r="M50" i="6" s="1"/>
  <c r="K14" i="2"/>
  <c r="L50" i="6" s="1"/>
  <c r="J50" i="6"/>
  <c r="P14" i="2"/>
  <c r="R14" i="2" s="1"/>
  <c r="K35" i="3"/>
  <c r="L35" i="3"/>
  <c r="N35" i="3"/>
  <c r="K36" i="3"/>
  <c r="L36" i="3"/>
  <c r="N36" i="3"/>
  <c r="N34" i="3"/>
  <c r="L34" i="3"/>
  <c r="K34" i="3"/>
  <c r="H9" i="2"/>
  <c r="J44" i="6" s="1"/>
  <c r="L12" i="3"/>
  <c r="N12" i="3"/>
  <c r="N16" i="3"/>
  <c r="N11" i="3"/>
  <c r="L11" i="3"/>
  <c r="B4" i="2"/>
  <c r="M35" i="3" l="1"/>
  <c r="P35" i="3" s="1"/>
  <c r="S14" i="2"/>
  <c r="M12" i="3"/>
  <c r="M16" i="3"/>
  <c r="O16" i="3" s="1"/>
  <c r="M36" i="3"/>
  <c r="O36" i="3" s="1"/>
  <c r="E29" i="1"/>
  <c r="O12" i="3" l="1"/>
  <c r="P12" i="3"/>
  <c r="O35" i="3"/>
  <c r="P36" i="3"/>
  <c r="P16" i="3"/>
  <c r="P8" i="7" l="1"/>
  <c r="N8" i="7"/>
  <c r="F20" i="1" s="1"/>
  <c r="M8" i="7"/>
  <c r="P7" i="7"/>
  <c r="N7" i="7"/>
  <c r="M7" i="7"/>
  <c r="E19" i="1" s="1"/>
  <c r="Q8" i="2"/>
  <c r="O8" i="2"/>
  <c r="Q7" i="2"/>
  <c r="O7" i="2"/>
  <c r="N7" i="2"/>
  <c r="P7" i="2" l="1"/>
  <c r="B3" i="9" l="1"/>
  <c r="N42" i="6" l="1"/>
  <c r="E9" i="1" l="1"/>
  <c r="F9" i="1"/>
  <c r="H9" i="1"/>
  <c r="H41" i="6" l="1"/>
  <c r="I41" i="6"/>
  <c r="K41" i="6"/>
  <c r="G9" i="1"/>
  <c r="R7" i="2" l="1"/>
  <c r="I9" i="1" s="1"/>
  <c r="J41" i="6"/>
  <c r="S7" i="2"/>
  <c r="J9" i="1" s="1"/>
  <c r="C4" i="4" l="1"/>
  <c r="I7" i="6" l="1"/>
  <c r="E33" i="3" l="1"/>
  <c r="L7" i="6" l="1"/>
  <c r="J7" i="6"/>
  <c r="M7" i="6"/>
  <c r="E48" i="3" l="1"/>
  <c r="E37" i="3"/>
  <c r="H27" i="1"/>
  <c r="G28" i="1"/>
  <c r="G27" i="1"/>
  <c r="G26" i="1"/>
  <c r="F24" i="1"/>
  <c r="H24" i="1"/>
  <c r="F23" i="1"/>
  <c r="H23" i="1"/>
  <c r="E24" i="1"/>
  <c r="F18" i="1"/>
  <c r="H18" i="1"/>
  <c r="F17" i="1"/>
  <c r="H17" i="1"/>
  <c r="E18" i="1"/>
  <c r="E17" i="1"/>
  <c r="N9" i="7"/>
  <c r="P9" i="7"/>
  <c r="M9" i="7"/>
  <c r="M10" i="7"/>
  <c r="N10" i="7"/>
  <c r="F21" i="1" s="1"/>
  <c r="P10" i="7"/>
  <c r="H21" i="1" s="1"/>
  <c r="M12" i="7"/>
  <c r="N12" i="7"/>
  <c r="P12" i="7"/>
  <c r="H9" i="7"/>
  <c r="O15" i="2"/>
  <c r="Q15" i="2"/>
  <c r="N15" i="2"/>
  <c r="O9" i="2"/>
  <c r="Q9" i="2"/>
  <c r="N9" i="2"/>
  <c r="H15" i="2"/>
  <c r="G17" i="1"/>
  <c r="H34" i="1"/>
  <c r="E60" i="6"/>
  <c r="I60" i="6"/>
  <c r="K60" i="6"/>
  <c r="H60" i="6"/>
  <c r="I58" i="6"/>
  <c r="K58" i="6"/>
  <c r="E58" i="6"/>
  <c r="H58" i="6"/>
  <c r="I55" i="6"/>
  <c r="K55" i="6"/>
  <c r="H55" i="6"/>
  <c r="E55" i="6"/>
  <c r="E53" i="6"/>
  <c r="I53" i="6"/>
  <c r="K53" i="6"/>
  <c r="H53" i="6"/>
  <c r="P11" i="7"/>
  <c r="H22" i="1" s="1"/>
  <c r="N11" i="7"/>
  <c r="F22" i="1" s="1"/>
  <c r="M11" i="7"/>
  <c r="E22" i="1" s="1"/>
  <c r="H11" i="7"/>
  <c r="H10" i="7"/>
  <c r="J58" i="6" s="1"/>
  <c r="H20" i="1"/>
  <c r="H8" i="7"/>
  <c r="J8" i="7" s="1"/>
  <c r="H19" i="1"/>
  <c r="H7" i="7"/>
  <c r="J7" i="7" s="1"/>
  <c r="B4" i="7"/>
  <c r="G23" i="1" l="1"/>
  <c r="J57" i="6"/>
  <c r="P15" i="2"/>
  <c r="S15" i="2" s="1"/>
  <c r="J51" i="6"/>
  <c r="M61" i="6"/>
  <c r="J61" i="6"/>
  <c r="K11" i="7"/>
  <c r="M60" i="6" s="1"/>
  <c r="E31" i="1"/>
  <c r="H28" i="6"/>
  <c r="O7" i="7"/>
  <c r="G19" i="1" s="1"/>
  <c r="I19" i="1" s="1"/>
  <c r="O8" i="7"/>
  <c r="G20" i="1" s="1"/>
  <c r="I20" i="1" s="1"/>
  <c r="I56" i="6"/>
  <c r="I62" i="6"/>
  <c r="G24" i="1"/>
  <c r="J24" i="1" s="1"/>
  <c r="P5" i="4"/>
  <c r="J10" i="7"/>
  <c r="L58" i="6" s="1"/>
  <c r="L55" i="6"/>
  <c r="J55" i="6"/>
  <c r="L9" i="2"/>
  <c r="M44" i="6" s="1"/>
  <c r="O11" i="7"/>
  <c r="H54" i="6"/>
  <c r="H56" i="6"/>
  <c r="J60" i="6"/>
  <c r="H62" i="6"/>
  <c r="E20" i="1"/>
  <c r="L15" i="2"/>
  <c r="M51" i="6" s="1"/>
  <c r="J9" i="7"/>
  <c r="L57" i="6" s="1"/>
  <c r="K9" i="7"/>
  <c r="O9" i="7"/>
  <c r="Q9" i="7" s="1"/>
  <c r="G18" i="1"/>
  <c r="J18" i="1" s="1"/>
  <c r="K10" i="7"/>
  <c r="J11" i="7"/>
  <c r="L60" i="6" s="1"/>
  <c r="L53" i="6"/>
  <c r="J53" i="6"/>
  <c r="K54" i="6"/>
  <c r="I54" i="6"/>
  <c r="I59" i="6"/>
  <c r="K9" i="2"/>
  <c r="L44" i="6" s="1"/>
  <c r="K15" i="2"/>
  <c r="L51" i="6" s="1"/>
  <c r="P9" i="2"/>
  <c r="R9" i="2" s="1"/>
  <c r="J12" i="7"/>
  <c r="L61" i="6" s="1"/>
  <c r="O12" i="7"/>
  <c r="R12" i="7" s="1"/>
  <c r="O10" i="7"/>
  <c r="R10" i="7" s="1"/>
  <c r="K62" i="6"/>
  <c r="I17" i="1"/>
  <c r="I23" i="1"/>
  <c r="J17" i="1"/>
  <c r="J23" i="1"/>
  <c r="I27" i="1"/>
  <c r="J27" i="1"/>
  <c r="J34" i="1"/>
  <c r="I34" i="1"/>
  <c r="K59" i="6"/>
  <c r="K56" i="6"/>
  <c r="H59" i="6"/>
  <c r="E21" i="1"/>
  <c r="K7" i="7"/>
  <c r="M53" i="6" s="1"/>
  <c r="K8" i="7"/>
  <c r="M55" i="6" s="1"/>
  <c r="I34" i="6"/>
  <c r="I12" i="6"/>
  <c r="B7" i="3"/>
  <c r="G25" i="1"/>
  <c r="I47" i="6"/>
  <c r="K47" i="6"/>
  <c r="H47" i="6"/>
  <c r="H45" i="6"/>
  <c r="I45" i="6"/>
  <c r="K45" i="6"/>
  <c r="I42" i="6"/>
  <c r="K42" i="6"/>
  <c r="H42" i="6"/>
  <c r="I40" i="6"/>
  <c r="K40" i="6"/>
  <c r="H40" i="6"/>
  <c r="I29" i="6"/>
  <c r="K29" i="6"/>
  <c r="I30" i="6"/>
  <c r="K30" i="6"/>
  <c r="I31" i="6"/>
  <c r="K31" i="6"/>
  <c r="I32" i="6"/>
  <c r="K32" i="6"/>
  <c r="I33" i="6"/>
  <c r="K33" i="6"/>
  <c r="K34" i="6"/>
  <c r="I35" i="6"/>
  <c r="K35" i="6"/>
  <c r="I36" i="6"/>
  <c r="K36" i="6"/>
  <c r="H30" i="6"/>
  <c r="H31" i="6"/>
  <c r="H32" i="6"/>
  <c r="H33" i="6"/>
  <c r="H34" i="6"/>
  <c r="H35" i="6"/>
  <c r="H36" i="6"/>
  <c r="H29" i="6"/>
  <c r="I27" i="6"/>
  <c r="K27" i="6"/>
  <c r="H27" i="6"/>
  <c r="I26" i="6"/>
  <c r="K26" i="6"/>
  <c r="H26" i="6"/>
  <c r="I25" i="6"/>
  <c r="K25" i="6"/>
  <c r="H25" i="6"/>
  <c r="I9" i="6"/>
  <c r="K9" i="6"/>
  <c r="I11" i="6"/>
  <c r="K11" i="6"/>
  <c r="K12" i="6"/>
  <c r="I13" i="6"/>
  <c r="K13" i="6"/>
  <c r="I14" i="6"/>
  <c r="K14" i="6"/>
  <c r="I15" i="6"/>
  <c r="K15" i="6"/>
  <c r="I16" i="6"/>
  <c r="K16" i="6"/>
  <c r="I17" i="6"/>
  <c r="K17" i="6"/>
  <c r="I18" i="6"/>
  <c r="K18" i="6"/>
  <c r="I19" i="6"/>
  <c r="K19" i="6"/>
  <c r="I20" i="6"/>
  <c r="K20" i="6"/>
  <c r="I22" i="6"/>
  <c r="K22" i="6"/>
  <c r="H11" i="6"/>
  <c r="H12" i="6"/>
  <c r="H13" i="6"/>
  <c r="H14" i="6"/>
  <c r="H15" i="6"/>
  <c r="H16" i="6"/>
  <c r="H17" i="6"/>
  <c r="H18" i="6"/>
  <c r="H19" i="6"/>
  <c r="H20" i="6"/>
  <c r="H22" i="6"/>
  <c r="H9" i="6"/>
  <c r="I3" i="6"/>
  <c r="K3" i="6"/>
  <c r="H3" i="6"/>
  <c r="I2" i="6"/>
  <c r="K2" i="6"/>
  <c r="H2" i="6"/>
  <c r="O3" i="6"/>
  <c r="O8" i="6"/>
  <c r="O9" i="6"/>
  <c r="O11" i="6"/>
  <c r="O12" i="6"/>
  <c r="O13" i="6"/>
  <c r="O14" i="6"/>
  <c r="O15" i="6"/>
  <c r="O16" i="6"/>
  <c r="O17" i="6"/>
  <c r="O18" i="6"/>
  <c r="O19" i="6"/>
  <c r="O20" i="6"/>
  <c r="O22" i="6"/>
  <c r="O24" i="6"/>
  <c r="O25" i="6"/>
  <c r="O26" i="6"/>
  <c r="O27" i="6"/>
  <c r="O28" i="6"/>
  <c r="O29" i="6"/>
  <c r="O30" i="6"/>
  <c r="O31" i="6"/>
  <c r="O32" i="6"/>
  <c r="O33" i="6"/>
  <c r="O34" i="6"/>
  <c r="O35" i="6"/>
  <c r="O36" i="6"/>
  <c r="O39" i="6"/>
  <c r="O40" i="6"/>
  <c r="O41" i="6"/>
  <c r="O42" i="6"/>
  <c r="O43" i="6"/>
  <c r="O45" i="6"/>
  <c r="O46" i="6"/>
  <c r="O47" i="6"/>
  <c r="O52" i="6"/>
  <c r="O53" i="6"/>
  <c r="O54" i="6"/>
  <c r="O55" i="6"/>
  <c r="O56" i="6"/>
  <c r="O58" i="6"/>
  <c r="O59" i="6"/>
  <c r="O60" i="6"/>
  <c r="O62" i="6"/>
  <c r="O2" i="6"/>
  <c r="E47" i="6"/>
  <c r="E45" i="6"/>
  <c r="E42" i="6"/>
  <c r="E40" i="6"/>
  <c r="E30" i="6"/>
  <c r="E31" i="6"/>
  <c r="E32" i="6"/>
  <c r="E33" i="6"/>
  <c r="E34" i="6"/>
  <c r="E35" i="6"/>
  <c r="E36" i="6"/>
  <c r="E29" i="6"/>
  <c r="E27" i="6"/>
  <c r="E26" i="6"/>
  <c r="E25" i="6"/>
  <c r="E19" i="6"/>
  <c r="E20" i="6"/>
  <c r="E22" i="6"/>
  <c r="E11" i="6"/>
  <c r="E12" i="6"/>
  <c r="E13" i="6"/>
  <c r="E14" i="6"/>
  <c r="E15" i="6"/>
  <c r="E16" i="6"/>
  <c r="E17" i="6"/>
  <c r="E18" i="6"/>
  <c r="E9" i="6"/>
  <c r="N40" i="3"/>
  <c r="N39" i="3"/>
  <c r="N38" i="3"/>
  <c r="N41" i="3"/>
  <c r="N42" i="3"/>
  <c r="N43" i="3"/>
  <c r="N44" i="3"/>
  <c r="N45" i="3"/>
  <c r="L40" i="3"/>
  <c r="L41" i="3"/>
  <c r="L42" i="3"/>
  <c r="L43" i="3"/>
  <c r="L44" i="3"/>
  <c r="L45" i="3"/>
  <c r="L39" i="3"/>
  <c r="L38" i="3"/>
  <c r="K39" i="3"/>
  <c r="K40" i="3"/>
  <c r="K41" i="3"/>
  <c r="K42" i="3"/>
  <c r="K43" i="3"/>
  <c r="K44" i="3"/>
  <c r="K45" i="3"/>
  <c r="K38" i="3"/>
  <c r="N18" i="3"/>
  <c r="K20" i="3"/>
  <c r="L20" i="3"/>
  <c r="N20" i="3"/>
  <c r="K21" i="3"/>
  <c r="N21" i="3"/>
  <c r="K22" i="3"/>
  <c r="L22" i="3"/>
  <c r="N22" i="3"/>
  <c r="K23" i="3"/>
  <c r="L23" i="3"/>
  <c r="N23" i="3"/>
  <c r="K24" i="3"/>
  <c r="L24" i="3"/>
  <c r="N24" i="3"/>
  <c r="K25" i="3"/>
  <c r="L25" i="3"/>
  <c r="N25" i="3"/>
  <c r="K26" i="3"/>
  <c r="L26" i="3"/>
  <c r="N26" i="3"/>
  <c r="K27" i="3"/>
  <c r="L27" i="3"/>
  <c r="N27" i="3"/>
  <c r="K28" i="3"/>
  <c r="L28" i="3"/>
  <c r="N28" i="3"/>
  <c r="K29" i="3"/>
  <c r="L29" i="3"/>
  <c r="M29" i="3" s="1"/>
  <c r="P29" i="3" s="1"/>
  <c r="N29" i="3"/>
  <c r="K31" i="3"/>
  <c r="L31" i="3"/>
  <c r="N31" i="3"/>
  <c r="L18" i="3"/>
  <c r="K18" i="3"/>
  <c r="G39" i="3"/>
  <c r="J30" i="6" s="1"/>
  <c r="G40" i="3"/>
  <c r="I40" i="3" s="1"/>
  <c r="L31" i="6" s="1"/>
  <c r="G41" i="3"/>
  <c r="J32" i="6" s="1"/>
  <c r="G42" i="3"/>
  <c r="I42" i="3" s="1"/>
  <c r="L33" i="6" s="1"/>
  <c r="G43" i="3"/>
  <c r="J34" i="6" s="1"/>
  <c r="G44" i="3"/>
  <c r="I44" i="3" s="1"/>
  <c r="L35" i="6" s="1"/>
  <c r="G45" i="3"/>
  <c r="J36" i="6" s="1"/>
  <c r="G38" i="3"/>
  <c r="I38" i="3" s="1"/>
  <c r="L29" i="6" s="1"/>
  <c r="G36" i="3"/>
  <c r="J36" i="3" s="1"/>
  <c r="M27" i="6" s="1"/>
  <c r="J26" i="6"/>
  <c r="G34" i="3"/>
  <c r="J25" i="6" s="1"/>
  <c r="G20" i="3"/>
  <c r="J20" i="3" s="1"/>
  <c r="M11" i="6" s="1"/>
  <c r="G22" i="3"/>
  <c r="I22" i="3" s="1"/>
  <c r="L13" i="6" s="1"/>
  <c r="G23" i="3"/>
  <c r="I23" i="3" s="1"/>
  <c r="L14" i="6" s="1"/>
  <c r="G24" i="3"/>
  <c r="J24" i="3" s="1"/>
  <c r="M15" i="6" s="1"/>
  <c r="G25" i="3"/>
  <c r="G26" i="3"/>
  <c r="I26" i="3" s="1"/>
  <c r="L17" i="6" s="1"/>
  <c r="G27" i="3"/>
  <c r="G28" i="3"/>
  <c r="I28" i="3" s="1"/>
  <c r="L19" i="6" s="1"/>
  <c r="L20" i="6"/>
  <c r="G31" i="3"/>
  <c r="J31" i="3" s="1"/>
  <c r="M22" i="6" s="1"/>
  <c r="G18" i="3"/>
  <c r="I18" i="3" s="1"/>
  <c r="L9" i="6" s="1"/>
  <c r="G12" i="3"/>
  <c r="G11" i="3"/>
  <c r="J11" i="3" s="1"/>
  <c r="M2" i="6" s="1"/>
  <c r="Q10" i="2"/>
  <c r="K46" i="6" s="1"/>
  <c r="O10" i="2"/>
  <c r="F13" i="1" s="1"/>
  <c r="Q11" i="2"/>
  <c r="H15" i="1" s="1"/>
  <c r="O11" i="2"/>
  <c r="N11" i="2"/>
  <c r="E15" i="1" s="1"/>
  <c r="N10" i="2"/>
  <c r="H46" i="6" s="1"/>
  <c r="H11" i="1"/>
  <c r="I43" i="6"/>
  <c r="H43" i="6"/>
  <c r="H11" i="2"/>
  <c r="J47" i="6" s="1"/>
  <c r="H10" i="2"/>
  <c r="K10" i="2" s="1"/>
  <c r="L45" i="6" s="1"/>
  <c r="H8" i="2"/>
  <c r="L8" i="2" s="1"/>
  <c r="M42" i="6" s="1"/>
  <c r="H7" i="2"/>
  <c r="K7" i="2" l="1"/>
  <c r="L7" i="2"/>
  <c r="R11" i="7"/>
  <c r="M62" i="6" s="1"/>
  <c r="I12" i="3"/>
  <c r="J12" i="3"/>
  <c r="J27" i="3"/>
  <c r="M18" i="6" s="1"/>
  <c r="I25" i="3"/>
  <c r="L16" i="6" s="1"/>
  <c r="J25" i="3"/>
  <c r="H52" i="6"/>
  <c r="R15" i="2"/>
  <c r="M57" i="6"/>
  <c r="M58" i="6"/>
  <c r="F15" i="1"/>
  <c r="I52" i="6" s="1"/>
  <c r="P11" i="2"/>
  <c r="G15" i="1" s="1"/>
  <c r="M42" i="3"/>
  <c r="O42" i="3" s="1"/>
  <c r="J41" i="3"/>
  <c r="M32" i="6" s="1"/>
  <c r="M45" i="3"/>
  <c r="O45" i="3" s="1"/>
  <c r="M34" i="3"/>
  <c r="O34" i="3" s="1"/>
  <c r="M44" i="3"/>
  <c r="P44" i="3" s="1"/>
  <c r="M40" i="3"/>
  <c r="O40" i="3" s="1"/>
  <c r="M41" i="3"/>
  <c r="P41" i="3" s="1"/>
  <c r="J59" i="6"/>
  <c r="J54" i="6"/>
  <c r="Q11" i="7"/>
  <c r="L62" i="6" s="1"/>
  <c r="Q7" i="7"/>
  <c r="L54" i="6" s="1"/>
  <c r="J19" i="1"/>
  <c r="J42" i="3"/>
  <c r="M33" i="6" s="1"/>
  <c r="J40" i="3"/>
  <c r="M31" i="6" s="1"/>
  <c r="J39" i="3"/>
  <c r="M30" i="6" s="1"/>
  <c r="R7" i="7"/>
  <c r="M54" i="6" s="1"/>
  <c r="J20" i="1"/>
  <c r="M28" i="3"/>
  <c r="P28" i="3" s="1"/>
  <c r="R8" i="7"/>
  <c r="M56" i="6" s="1"/>
  <c r="Q12" i="7"/>
  <c r="Q8" i="7"/>
  <c r="L56" i="6" s="1"/>
  <c r="J56" i="6"/>
  <c r="M24" i="3"/>
  <c r="P24" i="3" s="1"/>
  <c r="K17" i="3"/>
  <c r="H8" i="6" s="1"/>
  <c r="I24" i="1"/>
  <c r="Q10" i="7"/>
  <c r="L59" i="6" s="1"/>
  <c r="I18" i="1"/>
  <c r="J38" i="3"/>
  <c r="M29" i="6" s="1"/>
  <c r="J27" i="6"/>
  <c r="G21" i="1"/>
  <c r="I21" i="1" s="1"/>
  <c r="I34" i="3"/>
  <c r="J34" i="3"/>
  <c r="M25" i="6" s="1"/>
  <c r="K37" i="3"/>
  <c r="L37" i="3"/>
  <c r="F31" i="1" s="1"/>
  <c r="J33" i="6"/>
  <c r="S9" i="2"/>
  <c r="M40" i="6"/>
  <c r="J44" i="3"/>
  <c r="M35" i="6" s="1"/>
  <c r="M27" i="3"/>
  <c r="M22" i="3"/>
  <c r="M20" i="3"/>
  <c r="P20" i="3" s="1"/>
  <c r="N33" i="3"/>
  <c r="H30" i="1" s="1"/>
  <c r="N37" i="3"/>
  <c r="H31" i="1" s="1"/>
  <c r="L48" i="3"/>
  <c r="N48" i="3"/>
  <c r="H32" i="1" s="1"/>
  <c r="J3" i="6"/>
  <c r="J29" i="6"/>
  <c r="J40" i="6"/>
  <c r="G22" i="1"/>
  <c r="J62" i="6"/>
  <c r="R9" i="7"/>
  <c r="M59" i="6" s="1"/>
  <c r="M11" i="3"/>
  <c r="I25" i="1"/>
  <c r="J25" i="1"/>
  <c r="M39" i="3"/>
  <c r="O39" i="3" s="1"/>
  <c r="M23" i="3"/>
  <c r="P23" i="3" s="1"/>
  <c r="J17" i="6"/>
  <c r="K52" i="6"/>
  <c r="L17" i="3"/>
  <c r="F29" i="1" s="1"/>
  <c r="F35" i="1" s="1"/>
  <c r="M16" i="6"/>
  <c r="M25" i="3"/>
  <c r="J16" i="6"/>
  <c r="K11" i="2"/>
  <c r="L47" i="6" s="1"/>
  <c r="P10" i="2"/>
  <c r="J46" i="6" s="1"/>
  <c r="F11" i="1"/>
  <c r="I46" i="6"/>
  <c r="L40" i="6"/>
  <c r="L10" i="2"/>
  <c r="M45" i="6" s="1"/>
  <c r="E13" i="1"/>
  <c r="J45" i="6"/>
  <c r="L11" i="2"/>
  <c r="M18" i="3"/>
  <c r="P18" i="3" s="1"/>
  <c r="M43" i="3"/>
  <c r="O43" i="3" s="1"/>
  <c r="J43" i="3"/>
  <c r="M34" i="6" s="1"/>
  <c r="G21" i="3"/>
  <c r="I21" i="3" s="1"/>
  <c r="L12" i="6" s="1"/>
  <c r="L21" i="3"/>
  <c r="M21" i="3" s="1"/>
  <c r="P21" i="3" s="1"/>
  <c r="M31" i="3"/>
  <c r="J35" i="3"/>
  <c r="M26" i="6" s="1"/>
  <c r="I35" i="3"/>
  <c r="I36" i="3"/>
  <c r="J2" i="6"/>
  <c r="J15" i="6"/>
  <c r="J11" i="6"/>
  <c r="J22" i="6"/>
  <c r="I11" i="3"/>
  <c r="I39" i="3"/>
  <c r="L30" i="6" s="1"/>
  <c r="M26" i="3"/>
  <c r="P26" i="3" s="1"/>
  <c r="H13" i="1"/>
  <c r="K43" i="6"/>
  <c r="N17" i="3"/>
  <c r="L3" i="6"/>
  <c r="K48" i="3"/>
  <c r="H39" i="6" s="1"/>
  <c r="J45" i="3"/>
  <c r="M36" i="6" s="1"/>
  <c r="I45" i="3"/>
  <c r="L36" i="6" s="1"/>
  <c r="J35" i="6"/>
  <c r="I43" i="3"/>
  <c r="L34" i="6" s="1"/>
  <c r="I41" i="3"/>
  <c r="L32" i="6" s="1"/>
  <c r="J31" i="6"/>
  <c r="M38" i="3"/>
  <c r="J20" i="6"/>
  <c r="J19" i="6"/>
  <c r="J18" i="6"/>
  <c r="J14" i="6"/>
  <c r="J22" i="3"/>
  <c r="M13" i="6" s="1"/>
  <c r="J13" i="6"/>
  <c r="K33" i="3"/>
  <c r="J9" i="6"/>
  <c r="E11" i="1"/>
  <c r="J42" i="6"/>
  <c r="P8" i="2"/>
  <c r="J26" i="3"/>
  <c r="M17" i="6" s="1"/>
  <c r="J18" i="3"/>
  <c r="M9" i="6" s="1"/>
  <c r="J28" i="3"/>
  <c r="M19" i="6" s="1"/>
  <c r="J23" i="3"/>
  <c r="M14" i="6" s="1"/>
  <c r="J29" i="3"/>
  <c r="M20" i="6" s="1"/>
  <c r="I31" i="3"/>
  <c r="L22" i="6" s="1"/>
  <c r="I27" i="3"/>
  <c r="L18" i="6" s="1"/>
  <c r="I24" i="3"/>
  <c r="L15" i="6" s="1"/>
  <c r="I20" i="3"/>
  <c r="L11" i="6" s="1"/>
  <c r="M3" i="6"/>
  <c r="K8" i="2"/>
  <c r="R11" i="2" l="1"/>
  <c r="S11" i="2"/>
  <c r="P45" i="3"/>
  <c r="P42" i="3"/>
  <c r="P34" i="3"/>
  <c r="I39" i="6"/>
  <c r="F32" i="1"/>
  <c r="O44" i="3"/>
  <c r="P40" i="3"/>
  <c r="O41" i="3"/>
  <c r="K39" i="6"/>
  <c r="O24" i="3"/>
  <c r="K24" i="6"/>
  <c r="O27" i="3"/>
  <c r="P27" i="3"/>
  <c r="O25" i="3"/>
  <c r="P25" i="3"/>
  <c r="E32" i="1"/>
  <c r="O28" i="3"/>
  <c r="O29" i="3"/>
  <c r="O31" i="3"/>
  <c r="P31" i="3"/>
  <c r="O22" i="3"/>
  <c r="P22" i="3"/>
  <c r="P11" i="3"/>
  <c r="I28" i="6"/>
  <c r="K28" i="6"/>
  <c r="O23" i="3"/>
  <c r="J21" i="1"/>
  <c r="M17" i="3"/>
  <c r="P17" i="3" s="1"/>
  <c r="P43" i="3"/>
  <c r="M37" i="3"/>
  <c r="G31" i="1" s="1"/>
  <c r="I31" i="1" s="1"/>
  <c r="O20" i="3"/>
  <c r="L25" i="6"/>
  <c r="L41" i="6"/>
  <c r="J22" i="1"/>
  <c r="I22" i="1"/>
  <c r="J33" i="1"/>
  <c r="P39" i="3"/>
  <c r="O11" i="3"/>
  <c r="H29" i="1"/>
  <c r="J21" i="3"/>
  <c r="M12" i="6" s="1"/>
  <c r="O26" i="3"/>
  <c r="J52" i="6"/>
  <c r="I15" i="1"/>
  <c r="L52" i="6" s="1"/>
  <c r="J15" i="1"/>
  <c r="M52" i="6" s="1"/>
  <c r="O18" i="3"/>
  <c r="J12" i="6"/>
  <c r="L33" i="3"/>
  <c r="F30" i="1" s="1"/>
  <c r="G13" i="1"/>
  <c r="I13" i="1" s="1"/>
  <c r="R10" i="2"/>
  <c r="S10" i="2"/>
  <c r="M47" i="6"/>
  <c r="M33" i="3"/>
  <c r="O21" i="3"/>
  <c r="I8" i="6"/>
  <c r="L26" i="6"/>
  <c r="L2" i="6"/>
  <c r="L27" i="6"/>
  <c r="K8" i="6"/>
  <c r="P38" i="3"/>
  <c r="M48" i="3"/>
  <c r="P48" i="3" s="1"/>
  <c r="O38" i="3"/>
  <c r="H24" i="6"/>
  <c r="E30" i="1"/>
  <c r="L42" i="6"/>
  <c r="S8" i="2"/>
  <c r="R8" i="2"/>
  <c r="J43" i="6"/>
  <c r="G11" i="1"/>
  <c r="O48" i="3" l="1"/>
  <c r="L39" i="6" s="1"/>
  <c r="P37" i="3"/>
  <c r="J8" i="6"/>
  <c r="M41" i="6"/>
  <c r="J28" i="6"/>
  <c r="G29" i="1"/>
  <c r="J29" i="1" s="1"/>
  <c r="J31" i="1"/>
  <c r="J24" i="6"/>
  <c r="P33" i="3"/>
  <c r="M24" i="6" s="1"/>
  <c r="I11" i="1"/>
  <c r="J11" i="1"/>
  <c r="J13" i="1"/>
  <c r="O33" i="3"/>
  <c r="L24" i="6" s="1"/>
  <c r="L46" i="6"/>
  <c r="M46" i="6"/>
  <c r="O17" i="3"/>
  <c r="L8" i="6" s="1"/>
  <c r="I24" i="6"/>
  <c r="G30" i="1"/>
  <c r="M8" i="6"/>
  <c r="O37" i="3"/>
  <c r="L28" i="6" s="1"/>
  <c r="M39" i="6"/>
  <c r="J39" i="6"/>
  <c r="G32" i="1"/>
  <c r="L43" i="6"/>
  <c r="M43" i="6"/>
  <c r="I29" i="1" l="1"/>
  <c r="I32" i="1"/>
  <c r="J32" i="1"/>
  <c r="J30" i="1"/>
  <c r="I30" i="1"/>
  <c r="M28" i="6"/>
</calcChain>
</file>

<file path=xl/comments1.xml><?xml version="1.0" encoding="utf-8"?>
<comments xmlns="http://schemas.openxmlformats.org/spreadsheetml/2006/main">
  <authors>
    <author>ARCE VERGARA,MARCELA MARGARITA</author>
  </authors>
  <commentList>
    <comment ref="F7" authorId="0" shapeId="0">
      <text>
        <r>
          <rPr>
            <b/>
            <sz val="9"/>
            <color indexed="81"/>
            <rFont val="Tahoma"/>
            <family val="2"/>
          </rPr>
          <t>ARCE VERGARA,MARCELA MARGARITA:</t>
        </r>
        <r>
          <rPr>
            <sz val="9"/>
            <color indexed="81"/>
            <rFont val="Tahoma"/>
            <family val="2"/>
          </rPr>
          <t xml:space="preserve">
Modifcacion resolución exenta N°5. 75384 ton  por Res  N°966/2024  73151 ton.</t>
        </r>
      </text>
    </comment>
    <comment ref="F8" authorId="0" shapeId="0">
      <text>
        <r>
          <rPr>
            <b/>
            <sz val="9"/>
            <color indexed="81"/>
            <rFont val="Tahoma"/>
            <family val="2"/>
          </rPr>
          <t>ARCE VERGARA,MARCELA MARGARITA:</t>
        </r>
        <r>
          <rPr>
            <sz val="9"/>
            <color indexed="81"/>
            <rFont val="Tahoma"/>
            <family val="2"/>
          </rPr>
          <t xml:space="preserve">
Modifcacion resolución exenta N°5. 28345 ton  por Res  N°966/2024  27707 ton.</t>
        </r>
      </text>
    </comment>
  </commentList>
</comments>
</file>

<file path=xl/comments2.xml><?xml version="1.0" encoding="utf-8"?>
<comments xmlns="http://schemas.openxmlformats.org/spreadsheetml/2006/main">
  <authors>
    <author>ARCE VERGARA,MARCELA MARGARITA</author>
  </authors>
  <commentList>
    <comment ref="F7" authorId="0" shapeId="0">
      <text>
        <r>
          <rPr>
            <b/>
            <sz val="9"/>
            <color indexed="81"/>
            <rFont val="Tahoma"/>
            <family val="2"/>
          </rPr>
          <t>ARCE VERGARA,MARCELA MARGARITA: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Modifcacion resolución exenta N°5. 630 ton  por Res  N°966/2024  1323 ton.</t>
        </r>
      </text>
    </comment>
    <comment ref="F8" authorId="0" shapeId="0">
      <text>
        <r>
          <rPr>
            <b/>
            <sz val="9"/>
            <color indexed="81"/>
            <rFont val="Tahoma"/>
            <family val="2"/>
          </rPr>
          <t xml:space="preserve">ARCE VERGARA,MARCELA MARGARITA:
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Modifcacion resolución exenta N°5. 2385 ton  por Res  N°966/17-04-2024,  5007 ton.</t>
        </r>
      </text>
    </comment>
    <comment ref="L8" authorId="0" shapeId="0">
      <text>
        <r>
          <rPr>
            <b/>
            <sz val="9"/>
            <color indexed="81"/>
            <rFont val="Tahoma"/>
            <family val="2"/>
          </rPr>
          <t>ARCE VERGARA,MARCELA MARGARITA:</t>
        </r>
        <r>
          <rPr>
            <sz val="9"/>
            <color indexed="81"/>
            <rFont val="Tahoma"/>
            <family val="2"/>
          </rPr>
          <t xml:space="preserve">
 16-02-2024 Cierre de cuota Resolucion N°36
18-04-2024 Apertura de cuota Resolición N°75
13-05-2024 Cierre de Cuota Resolucion N°96/2024</t>
        </r>
      </text>
    </comment>
    <comment ref="F9" authorId="0" shapeId="0">
      <text>
        <r>
          <rPr>
            <b/>
            <sz val="9"/>
            <color indexed="81"/>
            <rFont val="Tahoma"/>
            <family val="2"/>
          </rPr>
          <t>ARCE VERGARA,MARCELA MARGARITA:</t>
        </r>
        <r>
          <rPr>
            <sz val="9"/>
            <color indexed="81"/>
            <rFont val="Tahoma"/>
            <family val="2"/>
          </rPr>
          <t xml:space="preserve">
Modifcacion resolución exenta N°5.  por Res  N°966/17-04-2024, 700 ton FA.</t>
        </r>
      </text>
    </comment>
    <comment ref="F10" authorId="0" shapeId="0">
      <text>
        <r>
          <rPr>
            <b/>
            <sz val="9"/>
            <color indexed="81"/>
            <rFont val="Tahoma"/>
            <family val="2"/>
          </rPr>
          <t>ARCE VERGARA,MARCELA MARGARITA:</t>
        </r>
        <r>
          <rPr>
            <sz val="9"/>
            <color indexed="81"/>
            <rFont val="Tahoma"/>
            <family val="2"/>
          </rPr>
          <t xml:space="preserve">
Res N°1443-18/06/2024 </t>
        </r>
      </text>
    </comment>
    <comment ref="L10" authorId="0" shapeId="0">
      <text>
        <r>
          <rPr>
            <b/>
            <sz val="9"/>
            <color indexed="81"/>
            <rFont val="Tahoma"/>
            <family val="2"/>
          </rPr>
          <t>ARCE VERGARA,MARCELA MARGARITA:</t>
        </r>
        <r>
          <rPr>
            <sz val="9"/>
            <color indexed="81"/>
            <rFont val="Tahoma"/>
            <family val="2"/>
          </rPr>
          <t xml:space="preserve">
RES 98 CIERRE DE CUOTA</t>
        </r>
      </text>
    </comment>
    <comment ref="F11" authorId="0" shapeId="0">
      <text>
        <r>
          <rPr>
            <b/>
            <sz val="9"/>
            <color indexed="81"/>
            <rFont val="Tahoma"/>
            <family val="2"/>
          </rPr>
          <t>ARCE VERGARA,MARCELA MARGARITA:</t>
        </r>
        <r>
          <rPr>
            <sz val="9"/>
            <color indexed="81"/>
            <rFont val="Tahoma"/>
            <family val="2"/>
          </rPr>
          <t xml:space="preserve">
Res N°1443-18/06/2024 </t>
        </r>
      </text>
    </comment>
    <comment ref="L11" authorId="0" shapeId="0">
      <text>
        <r>
          <rPr>
            <b/>
            <sz val="9"/>
            <color indexed="81"/>
            <rFont val="Tahoma"/>
            <family val="2"/>
          </rPr>
          <t xml:space="preserve">ARCE VERGARA,MARCELA MARGARITA:
RES N°139 20/05/2024 CIERRE DE CUOTA
 RES 171 - 18/06/2024 Apertura de cuota
</t>
        </r>
      </text>
    </comment>
    <comment ref="F12" authorId="0" shapeId="0">
      <text>
        <r>
          <rPr>
            <b/>
            <sz val="9"/>
            <color indexed="81"/>
            <rFont val="Tahoma"/>
            <family val="2"/>
          </rPr>
          <t>ARCE VERGARA,MARCELA MARGARITA:</t>
        </r>
        <r>
          <rPr>
            <sz val="9"/>
            <color indexed="81"/>
            <rFont val="Tahoma"/>
            <family val="2"/>
          </rPr>
          <t xml:space="preserve">
Res N°1443-18/06/2024</t>
        </r>
      </text>
    </comment>
  </commentList>
</comments>
</file>

<file path=xl/comments3.xml><?xml version="1.0" encoding="utf-8"?>
<comments xmlns="http://schemas.openxmlformats.org/spreadsheetml/2006/main">
  <authors>
    <author>ARCE VERGARA,MARCELA MARGARITA</author>
  </authors>
  <commentList>
    <comment ref="D44" authorId="0" shapeId="0">
      <text>
        <r>
          <rPr>
            <b/>
            <sz val="9"/>
            <color indexed="81"/>
            <rFont val="Tahoma"/>
            <family val="2"/>
          </rPr>
          <t>ARCE VERGARA,MARCELA MARGARITA:</t>
        </r>
        <r>
          <rPr>
            <sz val="9"/>
            <color indexed="81"/>
            <rFont val="Tahoma"/>
            <family val="2"/>
          </rPr>
          <t xml:space="preserve">
Se modifica según Res N°1164/2024, los cesionarios</t>
        </r>
      </text>
    </comment>
    <comment ref="D47" authorId="0" shapeId="0">
      <text>
        <r>
          <rPr>
            <b/>
            <sz val="9"/>
            <color indexed="81"/>
            <rFont val="Tahoma"/>
            <family val="2"/>
          </rPr>
          <t>ARCE VERGARA,MARCELA MARGARITA:</t>
        </r>
        <r>
          <rPr>
            <sz val="9"/>
            <color indexed="81"/>
            <rFont val="Tahoma"/>
            <family val="2"/>
          </rPr>
          <t xml:space="preserve">
Se modifica según Res N°1164/2024, los cesionarios</t>
        </r>
      </text>
    </comment>
    <comment ref="D48" authorId="0" shapeId="0">
      <text>
        <r>
          <rPr>
            <b/>
            <sz val="9"/>
            <color indexed="81"/>
            <rFont val="Tahoma"/>
            <family val="2"/>
          </rPr>
          <t>ARCE VERGARA,MARCELA MARGARITA:</t>
        </r>
        <r>
          <rPr>
            <sz val="9"/>
            <color indexed="81"/>
            <rFont val="Tahoma"/>
            <family val="2"/>
          </rPr>
          <t xml:space="preserve">
Se modifica según Res N°1164/2024, los cesionarios</t>
        </r>
      </text>
    </comment>
    <comment ref="D49" authorId="0" shapeId="0">
      <text>
        <r>
          <rPr>
            <b/>
            <sz val="9"/>
            <color indexed="81"/>
            <rFont val="Tahoma"/>
            <family val="2"/>
          </rPr>
          <t>ARCE VERGARA,MARCELA MARGARITA:</t>
        </r>
        <r>
          <rPr>
            <sz val="9"/>
            <color indexed="81"/>
            <rFont val="Tahoma"/>
            <family val="2"/>
          </rPr>
          <t xml:space="preserve">
Se modifica según Res N°1164/2024, los cesionarios</t>
        </r>
      </text>
    </comment>
    <comment ref="D107" authorId="0" shapeId="0">
      <text>
        <r>
          <rPr>
            <b/>
            <sz val="9"/>
            <color indexed="81"/>
            <rFont val="Tahoma"/>
            <charset val="1"/>
          </rPr>
          <t>ARCE VERGARA,MARCELA MARGARITA:</t>
        </r>
        <r>
          <rPr>
            <sz val="9"/>
            <color indexed="81"/>
            <rFont val="Tahoma"/>
            <charset val="1"/>
          </rPr>
          <t xml:space="preserve">
Se modifica incorporando la embarcacion bajo la resolucion 1589/2024.</t>
        </r>
      </text>
    </comment>
    <comment ref="F107" authorId="0" shapeId="0">
      <text>
        <r>
          <rPr>
            <b/>
            <sz val="9"/>
            <color indexed="81"/>
            <rFont val="Tahoma"/>
            <charset val="1"/>
          </rPr>
          <t>ARCE VERGARA,MARCELA MARGARITA:</t>
        </r>
        <r>
          <rPr>
            <sz val="9"/>
            <color indexed="81"/>
            <rFont val="Tahoma"/>
            <charset val="1"/>
          </rPr>
          <t xml:space="preserve">
Se incopora Res N°1589/2024 la embarcacion.</t>
        </r>
      </text>
    </comment>
    <comment ref="D113" authorId="0" shapeId="0">
      <text>
        <r>
          <rPr>
            <b/>
            <sz val="9"/>
            <color indexed="81"/>
            <rFont val="Tahoma"/>
            <family val="2"/>
          </rPr>
          <t>ARCE VERGARA,MARCELA MARGARITA:</t>
        </r>
        <r>
          <rPr>
            <sz val="9"/>
            <color indexed="81"/>
            <rFont val="Tahoma"/>
            <family val="2"/>
          </rPr>
          <t xml:space="preserve">
Se modifica según Res N°1531 2/07/2024 se agrega la embarcación indicada.</t>
        </r>
      </text>
    </comment>
    <comment ref="D120" authorId="0" shapeId="0">
      <text>
        <r>
          <rPr>
            <b/>
            <sz val="9"/>
            <color indexed="81"/>
            <rFont val="Tahoma"/>
            <family val="2"/>
          </rPr>
          <t>ARCE VERGARA,MARCELA MARGARITA:</t>
        </r>
        <r>
          <rPr>
            <sz val="9"/>
            <color indexed="81"/>
            <rFont val="Tahoma"/>
            <family val="2"/>
          </rPr>
          <t xml:space="preserve">
Se modifca Según Res N°1350 /02/07/2024 se agrega embarcacion indicada.</t>
        </r>
      </text>
    </comment>
  </commentList>
</comments>
</file>

<file path=xl/comments4.xml><?xml version="1.0" encoding="utf-8"?>
<comments xmlns="http://schemas.openxmlformats.org/spreadsheetml/2006/main">
  <authors>
    <author>ARCE VERGARA,MARCELA MARGARITA</author>
  </authors>
  <commentList>
    <comment ref="F12" authorId="0" shapeId="0">
      <text>
        <r>
          <rPr>
            <b/>
            <sz val="9"/>
            <color indexed="81"/>
            <rFont val="Tahoma"/>
            <family val="2"/>
          </rPr>
          <t>ARCE VERGARA,MARCELA MARGARITA:</t>
        </r>
        <r>
          <rPr>
            <sz val="9"/>
            <color indexed="81"/>
            <rFont val="Tahoma"/>
            <family val="2"/>
          </rPr>
          <t xml:space="preserve">
Res N° 1357 03/06/2024 cede 50,000 toneladas a embarcaciones XV-I.</t>
        </r>
      </text>
    </comment>
    <comment ref="F13" authorId="0" shapeId="0">
      <text>
        <r>
          <rPr>
            <b/>
            <sz val="9"/>
            <color indexed="81"/>
            <rFont val="Tahoma"/>
            <family val="2"/>
          </rPr>
          <t>ARCE VERGARA,MARCELA MARGARITA:</t>
        </r>
        <r>
          <rPr>
            <sz val="9"/>
            <color indexed="81"/>
            <rFont val="Tahoma"/>
            <family val="2"/>
          </rPr>
          <t xml:space="preserve">
Res N° 1062/2024  Cede 100,000Ton hacia Emb XV-II.
Res N° 1107/2024  Cede 15,000Ton hacia Emb II.
Res N° 01108/2024  Cede 15,000Ton hacia Emb XV-II.
Res N° 01312/2024  Cede 3,000 Ton hacia Emb XV-II</t>
        </r>
      </text>
    </comment>
    <comment ref="F14" authorId="0" shapeId="0">
      <text>
        <r>
          <rPr>
            <b/>
            <sz val="9"/>
            <color indexed="81"/>
            <rFont val="Tahoma"/>
            <family val="2"/>
          </rPr>
          <t>ARCE VERGARA,MARCELA MARGARITA:</t>
        </r>
        <r>
          <rPr>
            <sz val="9"/>
            <color indexed="81"/>
            <rFont val="Tahoma"/>
            <family val="2"/>
          </rPr>
          <t xml:space="preserve">
Res 494-24 Cede 16731,47 Ton hacia Emb XV-I.
</t>
        </r>
        <r>
          <rPr>
            <b/>
            <sz val="9"/>
            <color indexed="81"/>
            <rFont val="Tahoma"/>
            <family val="2"/>
          </rPr>
          <t xml:space="preserve">
RES N° 1514/2024  CEDE 371,383168  a DECASUR SPA.
RES N° 1512/2024  CEDE 1114,1495 a DECASUR SPA.
RES N° 1515/2024 Cede 1114,1495   a DECASUR.
RES N° 1516/2024  Cede 1114,1495 a DECASUR.
RES N° 1513/2024 Cede 2971,0653  a DECASUR.</t>
        </r>
      </text>
    </comment>
    <comment ref="F15" authorId="0" shapeId="0">
      <text>
        <r>
          <rPr>
            <b/>
            <sz val="9"/>
            <color indexed="81"/>
            <rFont val="Tahoma"/>
            <family val="2"/>
          </rPr>
          <t>ARCE VERGARA,MARCELA MARGARITA:</t>
        </r>
        <r>
          <rPr>
            <sz val="9"/>
            <color indexed="81"/>
            <rFont val="Tahoma"/>
            <family val="2"/>
          </rPr>
          <t xml:space="preserve">
RES N° 1514/2024 </t>
        </r>
        <r>
          <rPr>
            <b/>
            <sz val="9"/>
            <color indexed="81"/>
            <rFont val="Tahoma"/>
            <family val="2"/>
          </rPr>
          <t xml:space="preserve">INCREMENTA </t>
        </r>
        <r>
          <rPr>
            <sz val="9"/>
            <color indexed="81"/>
            <rFont val="Tahoma"/>
            <family val="2"/>
          </rPr>
          <t xml:space="preserve">371,383168 desde </t>
        </r>
        <r>
          <rPr>
            <b/>
            <sz val="9"/>
            <color indexed="81"/>
            <rFont val="Tahoma"/>
            <family val="2"/>
          </rPr>
          <t>DEL NORTE SPA SIND PESQ</t>
        </r>
        <r>
          <rPr>
            <sz val="9"/>
            <color indexed="81"/>
            <rFont val="Tahoma"/>
            <family val="2"/>
          </rPr>
          <t xml:space="preserve">.  
RES N° 1512/2024 INCREMENTA 1114,1495 desde DEL NORTE SPA SIND PESQ.  
RES N° 1515/2024 INCREMENTA 1114,1495 desde DEL NORTE SPA SIND PESQ.  
RES N° 1516/2024 INCREMENTA 1114,1495 desde DEL NORTE SPA SIND PESQ.  
RES N° 1513/2024 INCREMENTA 2971,0653 desde DEL NORTE SPA SIND PESQ.  </t>
        </r>
      </text>
    </comment>
    <comment ref="F16" authorId="0" shapeId="0">
      <text>
        <r>
          <rPr>
            <b/>
            <sz val="9"/>
            <color indexed="81"/>
            <rFont val="Tahoma"/>
            <family val="2"/>
          </rPr>
          <t xml:space="preserve">ARCE VERGARA,MARCELA MARGARITA:
</t>
        </r>
        <r>
          <rPr>
            <sz val="9"/>
            <color indexed="81"/>
            <rFont val="Tahoma"/>
            <family val="2"/>
          </rPr>
          <t>Res 456-24 Cede 3173,209 ton hacia Emb XV-I.</t>
        </r>
      </text>
    </comment>
    <comment ref="F28" authorId="0" shapeId="0">
      <text>
        <r>
          <rPr>
            <b/>
            <sz val="9"/>
            <color indexed="81"/>
            <rFont val="Tahoma"/>
            <family val="2"/>
          </rPr>
          <t>ARCE VERGARA,MARCELA MARGARITA: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Certificado N°3/2024 </t>
        </r>
        <r>
          <rPr>
            <sz val="9"/>
            <color indexed="81"/>
            <rFont val="Tahoma"/>
            <family val="2"/>
          </rPr>
          <t>Cede 0,307 ton a favor de  Thor Fisheries Spa.</t>
        </r>
      </text>
    </comment>
    <comment ref="F29" authorId="0" shapeId="0">
      <text>
        <r>
          <rPr>
            <b/>
            <sz val="9"/>
            <color indexed="81"/>
            <rFont val="Tahoma"/>
            <family val="2"/>
          </rPr>
          <t>ARCE VERGARA,MARCELA MARGARITA: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Res N°1391</t>
        </r>
        <r>
          <rPr>
            <sz val="9"/>
            <color indexed="81"/>
            <rFont val="Tahoma"/>
            <family val="2"/>
          </rPr>
          <t xml:space="preserve"> 07/06/2024 Cede 3000 ton a embarcaciones IV.</t>
        </r>
      </text>
    </comment>
    <comment ref="F30" authorId="0" shapeId="0">
      <text>
        <r>
          <rPr>
            <b/>
            <sz val="9"/>
            <color indexed="81"/>
            <rFont val="Tahoma"/>
            <family val="2"/>
          </rPr>
          <t>ARCE VERGARA,MARCELA MARGARITA: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Certificado N°3/2024</t>
        </r>
        <r>
          <rPr>
            <sz val="9"/>
            <color indexed="81"/>
            <rFont val="Tahoma"/>
            <family val="2"/>
          </rPr>
          <t xml:space="preserve"> Recibe 0,307 ton desde </t>
        </r>
        <r>
          <rPr>
            <b/>
            <sz val="9"/>
            <color indexed="81"/>
            <rFont val="Tahoma"/>
            <family val="2"/>
          </rPr>
          <t>Landes S.A Soc.Pesq.</t>
        </r>
      </text>
    </comment>
    <comment ref="F35" authorId="0" shapeId="0">
      <text>
        <r>
          <rPr>
            <b/>
            <sz val="9"/>
            <color indexed="81"/>
            <rFont val="Tahoma"/>
            <family val="2"/>
          </rPr>
          <t xml:space="preserve">ARCE VERGARA,MARCELA MARGARITA:
</t>
        </r>
        <r>
          <rPr>
            <b/>
            <sz val="9"/>
            <color indexed="81"/>
            <rFont val="Tahoma"/>
            <family val="2"/>
          </rPr>
          <t xml:space="preserve">
Res N°1356 3/06/2024</t>
        </r>
        <r>
          <rPr>
            <sz val="9"/>
            <color indexed="81"/>
            <rFont val="Tahoma"/>
            <family val="2"/>
          </rPr>
          <t xml:space="preserve"> Cede 500 ton hacia embarcaciones de I. 
</t>
        </r>
      </text>
    </comment>
    <comment ref="F36" authorId="0" shapeId="0">
      <text>
        <r>
          <rPr>
            <b/>
            <sz val="9"/>
            <color indexed="81"/>
            <rFont val="Tahoma"/>
            <family val="2"/>
          </rPr>
          <t>ARCE VERGARA,MARCELA MARGARITA: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Res N°1385 6/06/2024</t>
        </r>
        <r>
          <rPr>
            <sz val="9"/>
            <color indexed="81"/>
            <rFont val="Tahoma"/>
            <family val="2"/>
          </rPr>
          <t xml:space="preserve"> Cede 800 ton hacia embarcaciones de II.
</t>
        </r>
        <r>
          <rPr>
            <b/>
            <sz val="9"/>
            <color indexed="81"/>
            <rFont val="Tahoma"/>
            <family val="2"/>
          </rPr>
          <t xml:space="preserve">Res N°1388 7/06/2024 </t>
        </r>
        <r>
          <rPr>
            <sz val="9"/>
            <color indexed="81"/>
            <rFont val="Tahoma"/>
            <family val="2"/>
          </rPr>
          <t>Cede 800 ton hacia embarcaciones de II</t>
        </r>
      </text>
    </comment>
    <comment ref="F39" authorId="0" shapeId="0">
      <text>
        <r>
          <rPr>
            <b/>
            <sz val="9"/>
            <color indexed="81"/>
            <rFont val="Tahoma"/>
            <family val="2"/>
          </rPr>
          <t>ARCE VERGARA,MARCELA MARGARITA:</t>
        </r>
        <r>
          <rPr>
            <sz val="9"/>
            <color indexed="81"/>
            <rFont val="Tahoma"/>
            <family val="2"/>
          </rPr>
          <t xml:space="preserve">
Res 968-18-04-2024 Cede 890 ton hacia Emb III.</t>
        </r>
      </text>
    </comment>
    <comment ref="F44" authorId="0" shapeId="0">
      <text>
        <r>
          <rPr>
            <b/>
            <sz val="9"/>
            <color indexed="81"/>
            <rFont val="Tahoma"/>
            <family val="2"/>
          </rPr>
          <t>ARCE VERGARA,MARCELA MARGARITA:</t>
        </r>
        <r>
          <rPr>
            <sz val="9"/>
            <color indexed="81"/>
            <rFont val="Tahoma"/>
            <family val="2"/>
          </rPr>
          <t xml:space="preserve">
Res 973-18-04-2024 Cede 380 ton hacia Emb IV.</t>
        </r>
      </text>
    </comment>
    <comment ref="F46" authorId="0" shapeId="0">
      <text>
        <r>
          <rPr>
            <b/>
            <sz val="9"/>
            <color indexed="81"/>
            <rFont val="Tahoma"/>
            <family val="2"/>
          </rPr>
          <t>ARCE VERGARA,MARCELA MARGARITA:</t>
        </r>
        <r>
          <rPr>
            <sz val="9"/>
            <color indexed="81"/>
            <rFont val="Tahoma"/>
            <family val="2"/>
          </rPr>
          <t xml:space="preserve">
Certificado N°10 recibe 0,135 desde Landes .</t>
        </r>
      </text>
    </comment>
    <comment ref="F47" authorId="0" shapeId="0">
      <text>
        <r>
          <rPr>
            <b/>
            <sz val="9"/>
            <color indexed="81"/>
            <rFont val="Tahoma"/>
            <family val="2"/>
          </rPr>
          <t>ARCE VERGARA,MARCELA MARGARITA:</t>
        </r>
        <r>
          <rPr>
            <sz val="9"/>
            <color indexed="81"/>
            <rFont val="Tahoma"/>
            <family val="2"/>
          </rPr>
          <t xml:space="preserve">
Certificado N°10 Cede 0,135 ton a Thor Fisheries SPA.</t>
        </r>
      </text>
    </comment>
  </commentList>
</comments>
</file>

<file path=xl/sharedStrings.xml><?xml version="1.0" encoding="utf-8"?>
<sst xmlns="http://schemas.openxmlformats.org/spreadsheetml/2006/main" count="1156" uniqueCount="316">
  <si>
    <t>Información preliminar</t>
  </si>
  <si>
    <t>Fracción</t>
  </si>
  <si>
    <t>Unidad Pesquería</t>
  </si>
  <si>
    <t>Cuota Asignada</t>
  </si>
  <si>
    <t>Movimientos</t>
  </si>
  <si>
    <t>Cuota Efectiva</t>
  </si>
  <si>
    <t>Captura</t>
  </si>
  <si>
    <t>Saldo</t>
  </si>
  <si>
    <t>Consumo</t>
  </si>
  <si>
    <t>XV - I</t>
  </si>
  <si>
    <t>II</t>
  </si>
  <si>
    <t>III</t>
  </si>
  <si>
    <t>IV</t>
  </si>
  <si>
    <t>FA XV - II</t>
  </si>
  <si>
    <t>FA III - IV</t>
  </si>
  <si>
    <t>XV - II</t>
  </si>
  <si>
    <t>III - IV</t>
  </si>
  <si>
    <t>Unidad de pesquería</t>
  </si>
  <si>
    <t>Anchoveta XV - II</t>
  </si>
  <si>
    <t>Sardina española XV - II</t>
  </si>
  <si>
    <t>Período</t>
  </si>
  <si>
    <t>Anchoveta III - IV</t>
  </si>
  <si>
    <t>Región</t>
  </si>
  <si>
    <t xml:space="preserve"> Arica y Parinacota - Tarapacá</t>
  </si>
  <si>
    <t xml:space="preserve"> Antofagasta</t>
  </si>
  <si>
    <t xml:space="preserve"> Atacama</t>
  </si>
  <si>
    <t>Asignatario</t>
  </si>
  <si>
    <t>Coquimbo</t>
  </si>
  <si>
    <t>Sardina española III - IV</t>
  </si>
  <si>
    <t>Atacama</t>
  </si>
  <si>
    <t>Cuota asignada</t>
  </si>
  <si>
    <t>Cuota efectiva</t>
  </si>
  <si>
    <t>% Consumo</t>
  </si>
  <si>
    <t>Cierre</t>
  </si>
  <si>
    <t>Periodo</t>
  </si>
  <si>
    <t>% Consumido</t>
  </si>
  <si>
    <t>ARICA SEAFOOD PRODUCER S.A.</t>
  </si>
  <si>
    <t>CAMANCHACA S.A</t>
  </si>
  <si>
    <t>CORPESCA S.A</t>
  </si>
  <si>
    <t xml:space="preserve">BAHIA CALDERA S.A. PESQ.          </t>
  </si>
  <si>
    <t xml:space="preserve">BLUMAR S.A.                                              </t>
  </si>
  <si>
    <t xml:space="preserve">CAMANCHACA S.A. CIA. PESQ    </t>
  </si>
  <si>
    <t xml:space="preserve">ORIZON S.A                                                   </t>
  </si>
  <si>
    <t xml:space="preserve">CAMANCHACA PESCA SUR S.A.  </t>
  </si>
  <si>
    <t xml:space="preserve">LANDES S.A. SOC. PESQ.                           </t>
  </si>
  <si>
    <t>FOODCORP CHILE S.A.</t>
  </si>
  <si>
    <t>ATILIO REYES BARRERA</t>
  </si>
  <si>
    <t>ABASTECIMIENTO DEL PACIFICO S.A.</t>
  </si>
  <si>
    <t>ERIC ARACENA REYNUABA</t>
  </si>
  <si>
    <t>GIULLIANO REYNUABA SALAS</t>
  </si>
  <si>
    <t>Ene - Dic</t>
  </si>
  <si>
    <t xml:space="preserve">ARICA SEAFOOD PRODUCER S.A.  </t>
  </si>
  <si>
    <t xml:space="preserve">CAMANCHACA S.A. CIA. PESQ      </t>
  </si>
  <si>
    <t xml:space="preserve">CORPESCA S.A.                             </t>
  </si>
  <si>
    <t xml:space="preserve">ALIMENTOS MARINOS S.A.          </t>
  </si>
  <si>
    <t>Ene-Dic</t>
  </si>
  <si>
    <t>BLUMAR S.A.</t>
  </si>
  <si>
    <t>ORIZON S.A.</t>
  </si>
  <si>
    <t>CAMANCHACA PESCA SUR S.A.</t>
  </si>
  <si>
    <t>Titular de cuota LTP</t>
  </si>
  <si>
    <t>Traspaso, Cesión, arriendos, etc</t>
  </si>
  <si>
    <t>Captura (t)</t>
  </si>
  <si>
    <t>Saldo (t)</t>
  </si>
  <si>
    <t>RESUMEN ANUAL</t>
  </si>
  <si>
    <t>-</t>
  </si>
  <si>
    <t>unidad</t>
  </si>
  <si>
    <t>recurso</t>
  </si>
  <si>
    <t>zona</t>
  </si>
  <si>
    <t>tipo_asignatario</t>
  </si>
  <si>
    <t>organizacion_titular_area</t>
  </si>
  <si>
    <t>periodo_inicio</t>
  </si>
  <si>
    <t>periodo_final</t>
  </si>
  <si>
    <t>cuota</t>
  </si>
  <si>
    <t>cesiones_descuentos</t>
  </si>
  <si>
    <t>cuota_efectiva</t>
  </si>
  <si>
    <t>saldo</t>
  </si>
  <si>
    <t>saldo_porcentaje</t>
  </si>
  <si>
    <t>cierre</t>
  </si>
  <si>
    <t>Preliminar</t>
  </si>
  <si>
    <t>año</t>
  </si>
  <si>
    <t>comentario</t>
  </si>
  <si>
    <t>ANCHOVETA</t>
  </si>
  <si>
    <t>XV-II</t>
  </si>
  <si>
    <t>TITULAR LTP</t>
  </si>
  <si>
    <t>III-IV</t>
  </si>
  <si>
    <t>TOTAL ASIGNATARIO LTP</t>
  </si>
  <si>
    <t>SARDINA ESPAÑOLA</t>
  </si>
  <si>
    <t>XV-I</t>
  </si>
  <si>
    <t>MACROZONA</t>
  </si>
  <si>
    <t>MACROZONA XV - I</t>
  </si>
  <si>
    <t>REGIÓN II</t>
  </si>
  <si>
    <t>REGIÓN III</t>
  </si>
  <si>
    <t>REGIÓN IV</t>
  </si>
  <si>
    <t>REGION</t>
  </si>
  <si>
    <t>ORGANIZACIÓN</t>
  </si>
  <si>
    <t>TOTAL ASIGNATARIO MACROZONA</t>
  </si>
  <si>
    <t>TOTAL ASIGNATARIO REGION</t>
  </si>
  <si>
    <t>INDUSTRIAL</t>
  </si>
  <si>
    <t xml:space="preserve">Anchoveta </t>
  </si>
  <si>
    <t>Anchoveta</t>
  </si>
  <si>
    <t>Sardina española</t>
  </si>
  <si>
    <t>Recurso</t>
  </si>
  <si>
    <t>Investigación</t>
  </si>
  <si>
    <t>Artesanal</t>
  </si>
  <si>
    <t>Imprevisto</t>
  </si>
  <si>
    <t xml:space="preserve">Sardina española </t>
  </si>
  <si>
    <t>Tipo</t>
  </si>
  <si>
    <t>Fecha</t>
  </si>
  <si>
    <t>N° Resolución</t>
  </si>
  <si>
    <t>Embarcación</t>
  </si>
  <si>
    <t>RPA</t>
  </si>
  <si>
    <t>CUOTA</t>
  </si>
  <si>
    <t>CAPTURA</t>
  </si>
  <si>
    <t>SALDO</t>
  </si>
  <si>
    <t>% CONSUMO</t>
  </si>
  <si>
    <t>PROCESOS TECNOLOGICOS DEL BIO BIO SpA</t>
  </si>
  <si>
    <t>OPERACIÓN</t>
  </si>
  <si>
    <t>CUOTA (TONELADAS)</t>
  </si>
  <si>
    <t>XV - IV</t>
  </si>
  <si>
    <t>S. española</t>
  </si>
  <si>
    <t>Fraccionamiento</t>
  </si>
  <si>
    <t>Fauna acompañante</t>
  </si>
  <si>
    <t>Saldo (ton)</t>
  </si>
  <si>
    <t>Captura (ton)</t>
  </si>
  <si>
    <t>Total P. investigación</t>
  </si>
  <si>
    <t>Resolución</t>
  </si>
  <si>
    <t>Cuota</t>
  </si>
  <si>
    <t>captura</t>
  </si>
  <si>
    <t xml:space="preserve">Región </t>
  </si>
  <si>
    <t>Captura (T)</t>
  </si>
  <si>
    <t>Saldo (T)</t>
  </si>
  <si>
    <t xml:space="preserve">% Consumido </t>
  </si>
  <si>
    <t>Cargos por excesos</t>
  </si>
  <si>
    <t>ASIGNATARIO</t>
  </si>
  <si>
    <t>PERIODO</t>
  </si>
  <si>
    <t>CERCOPESCA Rol 4276</t>
  </si>
  <si>
    <t>CUOTA RESIDUAL</t>
  </si>
  <si>
    <t>Cesiones Ind y Colec XV-I</t>
  </si>
  <si>
    <t>Cesiones Ind y Colec II</t>
  </si>
  <si>
    <t>Cesiones Ind y Colec III</t>
  </si>
  <si>
    <t>Cesiones Ind y Colec IV</t>
  </si>
  <si>
    <t>Cesiones</t>
  </si>
  <si>
    <t>Fauna acompañante XV-III</t>
  </si>
  <si>
    <t>Fauna acompañante IV</t>
  </si>
  <si>
    <t>CAMANCHACA S.A.</t>
  </si>
  <si>
    <t>AG de Coquimbo RAG 55-4</t>
  </si>
  <si>
    <t>RESUMEN CONSUMO ANUAL ANCHOVETA Y SARDINA ESPAÑOLA XV-IV AÑO 2024. Dato en toneladas</t>
  </si>
  <si>
    <t>CONTROL CUOTA ANCHOVETA  XV - IV AÑO 2024</t>
  </si>
  <si>
    <t>CONTROL DE CUOTA REMANENTE ANCHOVETA ARTESANAL 2024</t>
  </si>
  <si>
    <t>Cuota Remanente 2023 (T)</t>
  </si>
  <si>
    <t>CONTROL CUOTA SARDINA ESPAÑOLA ARTESANAL XV - IV AÑO 2024</t>
  </si>
  <si>
    <t>ANCHOVETA 2024</t>
  </si>
  <si>
    <t>SARDINA ESPAÑOLA 2024</t>
  </si>
  <si>
    <t>TOTAL CESIONES 2024</t>
  </si>
  <si>
    <t>CONTROL DE CUOTAS PESCA DE INVESTIGACIÓN AÑO 2024</t>
  </si>
  <si>
    <t>CONTROL CUOTA ANCHOVETA Y SARDINA ESPAÑOLA INDUSTRIAL XV - IV AÑO 2024</t>
  </si>
  <si>
    <t>SIPESUR SPA</t>
  </si>
  <si>
    <t>DEL NORTE SpA SIND. PESQ.</t>
  </si>
  <si>
    <t>ESPACIO PESQUERO SpA.</t>
  </si>
  <si>
    <t>LANDES S.A. SOC. PESQ.</t>
  </si>
  <si>
    <t>STI de Coquimbo RSU 04.04.0472</t>
  </si>
  <si>
    <t>TOTAL</t>
  </si>
  <si>
    <t>Anchoveta XV-I</t>
  </si>
  <si>
    <t>Anchoveta II</t>
  </si>
  <si>
    <t>Anchoveta III</t>
  </si>
  <si>
    <t>Anchoveta IV</t>
  </si>
  <si>
    <t>XV</t>
  </si>
  <si>
    <t>Ind-Art</t>
  </si>
  <si>
    <t>Andreas</t>
  </si>
  <si>
    <t>Liliana</t>
  </si>
  <si>
    <t>Valentina</t>
  </si>
  <si>
    <t>Josue</t>
  </si>
  <si>
    <t>Isidora I</t>
  </si>
  <si>
    <t>I</t>
  </si>
  <si>
    <t>Aries I</t>
  </si>
  <si>
    <t>Fernanda I</t>
  </si>
  <si>
    <t>Niña Ximena</t>
  </si>
  <si>
    <t>Sea Quest</t>
  </si>
  <si>
    <t>Tom  Jerry</t>
  </si>
  <si>
    <t>Reymar I</t>
  </si>
  <si>
    <t>Fotuna VI</t>
  </si>
  <si>
    <t>Daniela Andrea I</t>
  </si>
  <si>
    <t>Don Milo</t>
  </si>
  <si>
    <t>Atenea II</t>
  </si>
  <si>
    <t>Sebastian II</t>
  </si>
  <si>
    <t>El Bellaco</t>
  </si>
  <si>
    <t>Delfin 2000</t>
  </si>
  <si>
    <t>Falcon</t>
  </si>
  <si>
    <t>El Bellaco I</t>
  </si>
  <si>
    <t>Green Peace</t>
  </si>
  <si>
    <t>Don Victorino</t>
  </si>
  <si>
    <t>Maria Soledad</t>
  </si>
  <si>
    <t>Pa Ke Te PiKay</t>
  </si>
  <si>
    <t>El Reno</t>
  </si>
  <si>
    <t>Atlantico III</t>
  </si>
  <si>
    <t>Garota</t>
  </si>
  <si>
    <t>Garota V</t>
  </si>
  <si>
    <t>Garota II</t>
  </si>
  <si>
    <t>Sta Veronica II</t>
  </si>
  <si>
    <t>Don Perucho II</t>
  </si>
  <si>
    <t>Jennifer I</t>
  </si>
  <si>
    <t>Haylen Carolina</t>
  </si>
  <si>
    <r>
      <rPr>
        <sz val="10.5"/>
        <rFont val="Calibri"/>
        <family val="1"/>
      </rPr>
      <t>ARKHOS V</t>
    </r>
  </si>
  <si>
    <r>
      <rPr>
        <sz val="10"/>
        <rFont val="Calibri"/>
        <family val="1"/>
      </rPr>
      <t>ARKHOS IV</t>
    </r>
  </si>
  <si>
    <r>
      <rPr>
        <sz val="10.5"/>
        <rFont val="Calibri"/>
        <family val="1"/>
      </rPr>
      <t>ABEL</t>
    </r>
  </si>
  <si>
    <r>
      <rPr>
        <sz val="10.5"/>
        <rFont val="Calibri"/>
        <family val="1"/>
      </rPr>
      <t>GRACIAS A DIOS I</t>
    </r>
  </si>
  <si>
    <r>
      <rPr>
        <sz val="10"/>
        <rFont val="Calibri"/>
        <family val="1"/>
      </rPr>
      <t>COYI I</t>
    </r>
  </si>
  <si>
    <r>
      <rPr>
        <sz val="10.5"/>
        <rFont val="Calibri"/>
        <family val="1"/>
      </rPr>
      <t>COYI II</t>
    </r>
  </si>
  <si>
    <r>
      <rPr>
        <sz val="11"/>
        <rFont val="Calibri"/>
        <family val="1"/>
      </rPr>
      <t>SANTA MARGARITA I</t>
    </r>
  </si>
  <si>
    <r>
      <rPr>
        <sz val="10.5"/>
        <rFont val="Calibri"/>
        <family val="1"/>
      </rPr>
      <t>JORGE HERNAN M</t>
    </r>
  </si>
  <si>
    <r>
      <rPr>
        <sz val="11"/>
        <rFont val="Calibri"/>
        <family val="1"/>
      </rPr>
      <t>MAR TERCERO</t>
    </r>
  </si>
  <si>
    <r>
      <rPr>
        <sz val="11"/>
        <rFont val="Calibri"/>
        <family val="1"/>
      </rPr>
      <t>LOBO DE AFUERA IV</t>
    </r>
  </si>
  <si>
    <r>
      <rPr>
        <sz val="11"/>
        <rFont val="Calibri"/>
        <family val="1"/>
      </rPr>
      <t>LOBO DE AFUERA VII</t>
    </r>
  </si>
  <si>
    <r>
      <rPr>
        <sz val="11"/>
        <rFont val="Calibri"/>
        <family val="1"/>
      </rPr>
      <t>LOBO DE AFUERA V</t>
    </r>
  </si>
  <si>
    <r>
      <rPr>
        <sz val="10.5"/>
        <rFont val="Calibri"/>
        <family val="1"/>
      </rPr>
      <t>ODISEO II</t>
    </r>
  </si>
  <si>
    <r>
      <rPr>
        <sz val="9.5"/>
        <rFont val="Calibri"/>
        <family val="1"/>
      </rPr>
      <t>IKE I</t>
    </r>
  </si>
  <si>
    <r>
      <rPr>
        <sz val="10"/>
        <rFont val="Calibri"/>
        <family val="1"/>
      </rPr>
      <t>DON JOSE I</t>
    </r>
  </si>
  <si>
    <r>
      <rPr>
        <sz val="10.5"/>
        <rFont val="Calibri"/>
        <family val="1"/>
      </rPr>
      <t>CESAR MIGUEL</t>
    </r>
  </si>
  <si>
    <r>
      <rPr>
        <sz val="10"/>
        <rFont val="Calibri"/>
        <family val="1"/>
      </rPr>
      <t>ARKHOS III</t>
    </r>
  </si>
  <si>
    <r>
      <rPr>
        <sz val="10"/>
        <rFont val="Calibri"/>
        <family val="1"/>
      </rPr>
      <t>GUAJACHE II</t>
    </r>
  </si>
  <si>
    <r>
      <rPr>
        <sz val="10.5"/>
        <rFont val="Calibri"/>
        <family val="1"/>
      </rPr>
      <t>DON GERMAN CSA</t>
    </r>
  </si>
  <si>
    <r>
      <rPr>
        <sz val="11"/>
        <rFont val="Consolas"/>
        <family val="3"/>
      </rPr>
      <t>TUAREGI</t>
    </r>
  </si>
  <si>
    <r>
      <rPr>
        <sz val="10"/>
        <rFont val="Calibri"/>
        <family val="1"/>
      </rPr>
      <t>AGUJILLA</t>
    </r>
  </si>
  <si>
    <r>
      <rPr>
        <sz val="11"/>
        <rFont val="Calibri"/>
        <family val="1"/>
      </rPr>
      <t>AMADEUS</t>
    </r>
  </si>
  <si>
    <r>
      <rPr>
        <sz val="11"/>
        <rFont val="Consolas"/>
        <family val="3"/>
      </rPr>
      <t>KAREN PAMELA</t>
    </r>
  </si>
  <si>
    <r>
      <rPr>
        <sz val="10"/>
        <rFont val="Calibri"/>
        <family val="1"/>
      </rPr>
      <t>ARKHOS II</t>
    </r>
  </si>
  <si>
    <r>
      <rPr>
        <sz val="10.5"/>
        <rFont val="Calibri"/>
        <family val="1"/>
      </rPr>
      <t>DON MARIO 1</t>
    </r>
  </si>
  <si>
    <r>
      <rPr>
        <sz val="11"/>
        <rFont val="Calibri"/>
        <family val="1"/>
      </rPr>
      <t>SEBASTIAN ALEJANDRO</t>
    </r>
  </si>
  <si>
    <r>
      <rPr>
        <sz val="10"/>
        <rFont val="Calibri"/>
        <family val="1"/>
      </rPr>
      <t>AMADEUS II</t>
    </r>
  </si>
  <si>
    <r>
      <rPr>
        <sz val="10"/>
        <rFont val="Calibri"/>
        <family val="1"/>
      </rPr>
      <t>SHALOM II</t>
    </r>
  </si>
  <si>
    <r>
      <rPr>
        <sz val="10"/>
        <rFont val="Calibri"/>
        <family val="1"/>
      </rPr>
      <t>PETROHUE III</t>
    </r>
  </si>
  <si>
    <r>
      <rPr>
        <sz val="11"/>
        <rFont val="Calibri"/>
        <family val="1"/>
      </rPr>
      <t>MARCELO RODOLFO</t>
    </r>
  </si>
  <si>
    <r>
      <rPr>
        <sz val="11"/>
        <rFont val="Calibri"/>
        <family val="1"/>
      </rPr>
      <t>ELVA S</t>
    </r>
  </si>
  <si>
    <r>
      <rPr>
        <sz val="10.5"/>
        <rFont val="Calibri"/>
        <family val="1"/>
      </rPr>
      <t>PETROHUE II</t>
    </r>
  </si>
  <si>
    <r>
      <rPr>
        <sz val="10.5"/>
        <rFont val="Calibri"/>
        <family val="1"/>
      </rPr>
      <t>AMADEUS IV</t>
    </r>
  </si>
  <si>
    <r>
      <rPr>
        <sz val="10.5"/>
        <rFont val="Calibri"/>
        <family val="1"/>
      </rPr>
      <t>GRINGO PABLO II</t>
    </r>
  </si>
  <si>
    <r>
      <rPr>
        <sz val="10"/>
        <rFont val="Calibri"/>
        <family val="1"/>
      </rPr>
      <t>RINA F Y M</t>
    </r>
  </si>
  <si>
    <r>
      <rPr>
        <sz val="10"/>
        <rFont val="Calibri"/>
        <family val="1"/>
      </rPr>
      <t>KIMBA I</t>
    </r>
  </si>
  <si>
    <r>
      <rPr>
        <sz val="10.5"/>
        <rFont val="Calibri"/>
        <family val="1"/>
      </rPr>
      <t>CONSUELITO I</t>
    </r>
  </si>
  <si>
    <r>
      <rPr>
        <sz val="10.5"/>
        <rFont val="Calibri"/>
        <family val="1"/>
      </rPr>
      <t>HUMBOLDT II</t>
    </r>
  </si>
  <si>
    <r>
      <rPr>
        <sz val="10.5"/>
        <rFont val="Calibri"/>
        <family val="1"/>
      </rPr>
      <t>LORETO V</t>
    </r>
  </si>
  <si>
    <r>
      <rPr>
        <sz val="10.5"/>
        <rFont val="Calibri"/>
        <family val="1"/>
      </rPr>
      <t>PETROHUE I</t>
    </r>
  </si>
  <si>
    <r>
      <rPr>
        <sz val="10.5"/>
        <rFont val="Consolas"/>
        <family val="3"/>
      </rPr>
      <t>DANIEL</t>
    </r>
  </si>
  <si>
    <r>
      <rPr>
        <sz val="10.5"/>
        <rFont val="Consolas"/>
        <family val="3"/>
      </rPr>
      <t>PELICANOII</t>
    </r>
  </si>
  <si>
    <r>
      <rPr>
        <sz val="10.5"/>
        <rFont val="Calibri"/>
        <family val="1"/>
      </rPr>
      <t>CHANGO I</t>
    </r>
  </si>
  <si>
    <t>DON MIGUEL</t>
  </si>
  <si>
    <t>TRINQUETE</t>
  </si>
  <si>
    <t>EDI</t>
  </si>
  <si>
    <t>DON NINO I</t>
  </si>
  <si>
    <t>DON NINO II</t>
  </si>
  <si>
    <t>DON ANDRES II</t>
  </si>
  <si>
    <t>DON RUFINO II</t>
  </si>
  <si>
    <t>GENESIS C</t>
  </si>
  <si>
    <t>ARLETH ANTONIA</t>
  </si>
  <si>
    <t>GIOVANNA PRISCILLA IV</t>
  </si>
  <si>
    <t>MARIA ELENA</t>
  </si>
  <si>
    <t>MOISES</t>
  </si>
  <si>
    <t>STGO MORAN</t>
  </si>
  <si>
    <t>THOR FISHERIES SPA</t>
  </si>
  <si>
    <t>Doña Alga I</t>
  </si>
  <si>
    <t>Zeus I</t>
  </si>
  <si>
    <t>Venus</t>
  </si>
  <si>
    <t>Kalejo</t>
  </si>
  <si>
    <t>RAGNAR</t>
  </si>
  <si>
    <t>JORGE HERNAN M</t>
  </si>
  <si>
    <t>Abdon I</t>
  </si>
  <si>
    <t>Isaac</t>
  </si>
  <si>
    <t>Carolina I</t>
  </si>
  <si>
    <t>Don Mauricio I</t>
  </si>
  <si>
    <t>Camila Antonia</t>
  </si>
  <si>
    <t>XV- I</t>
  </si>
  <si>
    <t>Don Salomon</t>
  </si>
  <si>
    <t>Edi</t>
  </si>
  <si>
    <t>Don Nino I</t>
  </si>
  <si>
    <t>Don Nino II</t>
  </si>
  <si>
    <t>JAVIERA SELMIRA I</t>
  </si>
  <si>
    <t>DON MILO</t>
  </si>
  <si>
    <t>SEBASTIAN II</t>
  </si>
  <si>
    <t>EL BELLACO</t>
  </si>
  <si>
    <t>DON MARINO I</t>
  </si>
  <si>
    <t>PANCHO MALO</t>
  </si>
  <si>
    <t>EL BELLACO I</t>
  </si>
  <si>
    <t>CENTAURO</t>
  </si>
  <si>
    <t>KIWI</t>
  </si>
  <si>
    <t>KALEJO</t>
  </si>
  <si>
    <t>EL RENO</t>
  </si>
  <si>
    <t>VENUS</t>
  </si>
  <si>
    <t>MARY PAZII</t>
  </si>
  <si>
    <t>ALDEBERAN II</t>
  </si>
  <si>
    <t>DOÑA MERCEDES II</t>
  </si>
  <si>
    <t>OLGUITA I</t>
  </si>
  <si>
    <t>DOÑA EDI</t>
  </si>
  <si>
    <t>DOÑA SABINA</t>
  </si>
  <si>
    <t>JOSEFA II</t>
  </si>
  <si>
    <t>JOSEFA ALBINO</t>
  </si>
  <si>
    <t>DON RAFA</t>
  </si>
  <si>
    <t>DON ELEUTERIO</t>
  </si>
  <si>
    <t>JULIETA IGNACIA</t>
  </si>
  <si>
    <t>SR GRACIELA</t>
  </si>
  <si>
    <t>DON LUIS</t>
  </si>
  <si>
    <t>SRMARIOLY 1</t>
  </si>
  <si>
    <t>LA ANGELITA</t>
  </si>
  <si>
    <t>DON JOAQUIN III</t>
  </si>
  <si>
    <t>EL TESORO</t>
  </si>
  <si>
    <t>PIONERO</t>
  </si>
  <si>
    <t>SOCOROMA</t>
  </si>
  <si>
    <t>SOCOROMA I</t>
  </si>
  <si>
    <t>Victor  Barahona Olivares</t>
  </si>
  <si>
    <t>UP</t>
  </si>
  <si>
    <t>N° doc</t>
  </si>
  <si>
    <t>CEDE</t>
  </si>
  <si>
    <t>Coeficiente</t>
  </si>
  <si>
    <t>DECASUR SPA.</t>
  </si>
  <si>
    <t>RECIBE</t>
  </si>
  <si>
    <t>DECASUR SPA</t>
  </si>
  <si>
    <t>BENJAMIN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</si>
</sst>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164" formatCode="_-&quot;$&quot;\ * #,##0.00_-;\-&quot;$&quot;\ * #,##0.00_-;_-&quot;$&quot;\ * &quot;-&quot;??_-;_-@_-"/>
    <numFmt numFmtId="165" formatCode="_-* #,##0.00_-;\-* #,##0.00_-;_-* &quot;-&quot;??_-;_-@_-"/>
    <numFmt numFmtId="166" formatCode="0.000"/>
    <numFmt numFmtId="167" formatCode="[$-F800]dddd\,\ mmmm\ dd\,\ yyyy"/>
    <numFmt numFmtId="168" formatCode="yyyy/mm/dd;@"/>
    <numFmt numFmtId="169" formatCode="#\ ##0.000"/>
    <numFmt numFmtId="170" formatCode="#\ ##0.00"/>
    <numFmt numFmtId="171" formatCode="##\ ##0.000"/>
    <numFmt numFmtId="172" formatCode="0.000%"/>
    <numFmt numFmtId="173" formatCode="####\ ##0.000"/>
    <numFmt numFmtId="174" formatCode="0.0"/>
    <numFmt numFmtId="175" formatCode="##\ ##0.00"/>
    <numFmt numFmtId="176" formatCode="###\ ##0.00"/>
    <numFmt numFmtId="177" formatCode="0.0000000"/>
    <numFmt numFmtId="178" formatCode="0.000000"/>
  </numFmts>
  <fonts count="6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Verdana"/>
      <family val="2"/>
    </font>
    <font>
      <sz val="10"/>
      <color theme="1"/>
      <name val="gobC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0"/>
      <name val="MS Sans Serif"/>
      <family val="2"/>
    </font>
    <font>
      <b/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0.5"/>
      <color rgb="FF000000"/>
      <name val="Calibri"/>
      <family val="2"/>
    </font>
    <font>
      <sz val="10.5"/>
      <name val="Calibri"/>
      <family val="2"/>
    </font>
    <font>
      <sz val="10.5"/>
      <name val="Calibri"/>
      <family val="1"/>
    </font>
    <font>
      <sz val="10"/>
      <color rgb="FF000000"/>
      <name val="Calibri"/>
      <family val="2"/>
    </font>
    <font>
      <sz val="10"/>
      <name val="Calibri"/>
      <family val="2"/>
    </font>
    <font>
      <sz val="10"/>
      <name val="Calibri"/>
      <family val="1"/>
    </font>
    <font>
      <sz val="11"/>
      <name val="Calibri"/>
      <family val="2"/>
    </font>
    <font>
      <sz val="11"/>
      <name val="Calibri"/>
      <family val="1"/>
    </font>
    <font>
      <sz val="9.5"/>
      <name val="Calibri"/>
      <family val="2"/>
    </font>
    <font>
      <sz val="9.5"/>
      <name val="Calibri"/>
      <family val="1"/>
    </font>
    <font>
      <sz val="11"/>
      <color rgb="FF000000"/>
      <name val="Courier New"/>
      <family val="2"/>
    </font>
    <font>
      <sz val="11"/>
      <name val="Consolas"/>
      <family val="3"/>
    </font>
    <font>
      <sz val="11"/>
      <color rgb="FF000000"/>
      <name val="Consolas"/>
      <family val="2"/>
    </font>
    <font>
      <sz val="10.5"/>
      <color rgb="FF000000"/>
      <name val="Consolas"/>
      <family val="2"/>
    </font>
    <font>
      <sz val="10.5"/>
      <name val="Consolas"/>
      <family val="3"/>
    </font>
    <font>
      <sz val="11"/>
      <color theme="1" tint="4.9989318521683403E-2"/>
      <name val="Calibri"/>
      <family val="2"/>
      <scheme val="minor"/>
    </font>
    <font>
      <b/>
      <sz val="10"/>
      <color theme="1" tint="4.9989318521683403E-2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gradientFill degree="90">
        <stop position="0">
          <color theme="0"/>
        </stop>
        <stop position="1">
          <color theme="4"/>
        </stop>
      </gradientFill>
    </fill>
    <fill>
      <patternFill patternType="solid">
        <fgColor theme="9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gradientFill degree="90">
        <stop position="0">
          <color theme="5" tint="0.80001220740379042"/>
        </stop>
        <stop position="0.5">
          <color theme="5" tint="0.40000610370189521"/>
        </stop>
        <stop position="1">
          <color theme="5" tint="0.80001220740379042"/>
        </stop>
      </gradient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auto="1"/>
      </patternFill>
    </fill>
    <fill>
      <patternFill patternType="solid">
        <fgColor rgb="FFFF99C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auto="1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theme="4" tint="0.79998168889431442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theme="4" tint="0.79998168889431442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39">
    <xf numFmtId="0" fontId="0" fillId="0" borderId="0"/>
    <xf numFmtId="9" fontId="1" fillId="0" borderId="0" applyFont="0" applyFill="0" applyBorder="0" applyAlignment="0" applyProtection="0"/>
    <xf numFmtId="9" fontId="1" fillId="28" borderId="0" applyFont="0" applyBorder="0" applyAlignment="0" applyProtection="0"/>
    <xf numFmtId="0" fontId="4" fillId="0" borderId="0"/>
    <xf numFmtId="0" fontId="4" fillId="0" borderId="0"/>
    <xf numFmtId="0" fontId="4" fillId="0" borderId="0"/>
    <xf numFmtId="9" fontId="5" fillId="0" borderId="0" applyFont="0" applyFill="0" applyBorder="0" applyAlignment="0" applyProtection="0"/>
    <xf numFmtId="0" fontId="6" fillId="0" borderId="0"/>
    <xf numFmtId="9" fontId="4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7" fillId="0" borderId="0"/>
    <xf numFmtId="0" fontId="1" fillId="0" borderId="0"/>
    <xf numFmtId="0" fontId="9" fillId="0" borderId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" fillId="0" borderId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3" fillId="20" borderId="19" applyNumberFormat="0" applyAlignment="0" applyProtection="0"/>
    <xf numFmtId="0" fontId="13" fillId="20" borderId="19" applyNumberFormat="0" applyAlignment="0" applyProtection="0"/>
    <xf numFmtId="0" fontId="13" fillId="20" borderId="19" applyNumberFormat="0" applyAlignment="0" applyProtection="0"/>
    <xf numFmtId="0" fontId="13" fillId="20" borderId="19" applyNumberFormat="0" applyAlignment="0" applyProtection="0"/>
    <xf numFmtId="0" fontId="13" fillId="20" borderId="19" applyNumberFormat="0" applyAlignment="0" applyProtection="0"/>
    <xf numFmtId="0" fontId="14" fillId="21" borderId="20" applyNumberFormat="0" applyAlignment="0" applyProtection="0"/>
    <xf numFmtId="0" fontId="14" fillId="21" borderId="20" applyNumberFormat="0" applyAlignment="0" applyProtection="0"/>
    <xf numFmtId="0" fontId="14" fillId="21" borderId="20" applyNumberFormat="0" applyAlignment="0" applyProtection="0"/>
    <xf numFmtId="0" fontId="14" fillId="21" borderId="20" applyNumberFormat="0" applyAlignment="0" applyProtection="0"/>
    <xf numFmtId="0" fontId="14" fillId="21" borderId="20" applyNumberFormat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7" fillId="11" borderId="19" applyNumberFormat="0" applyAlignment="0" applyProtection="0"/>
    <xf numFmtId="0" fontId="17" fillId="11" borderId="19" applyNumberFormat="0" applyAlignment="0" applyProtection="0"/>
    <xf numFmtId="0" fontId="17" fillId="11" borderId="19" applyNumberFormat="0" applyAlignment="0" applyProtection="0"/>
    <xf numFmtId="0" fontId="17" fillId="11" borderId="19" applyNumberFormat="0" applyAlignment="0" applyProtection="0"/>
    <xf numFmtId="0" fontId="17" fillId="11" borderId="19" applyNumberFormat="0" applyAlignment="0" applyProtection="0"/>
    <xf numFmtId="0" fontId="5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27" borderId="17" applyNumberFormat="0" applyFont="0" applyAlignment="0" applyProtection="0"/>
    <xf numFmtId="0" fontId="4" fillId="27" borderId="17" applyNumberFormat="0" applyFont="0" applyAlignment="0" applyProtection="0"/>
    <xf numFmtId="0" fontId="4" fillId="27" borderId="17" applyNumberFormat="0" applyFont="0" applyAlignment="0" applyProtection="0"/>
    <xf numFmtId="0" fontId="4" fillId="27" borderId="17" applyNumberFormat="0" applyFont="0" applyAlignment="0" applyProtection="0"/>
    <xf numFmtId="0" fontId="4" fillId="27" borderId="17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0" fillId="20" borderId="22" applyNumberFormat="0" applyAlignment="0" applyProtection="0"/>
    <xf numFmtId="0" fontId="20" fillId="20" borderId="22" applyNumberFormat="0" applyAlignment="0" applyProtection="0"/>
    <xf numFmtId="0" fontId="20" fillId="20" borderId="22" applyNumberFormat="0" applyAlignment="0" applyProtection="0"/>
    <xf numFmtId="0" fontId="20" fillId="20" borderId="22" applyNumberFormat="0" applyAlignment="0" applyProtection="0"/>
    <xf numFmtId="0" fontId="20" fillId="20" borderId="22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23" applyNumberFormat="0" applyFill="0" applyAlignment="0" applyProtection="0"/>
    <xf numFmtId="0" fontId="24" fillId="0" borderId="23" applyNumberFormat="0" applyFill="0" applyAlignment="0" applyProtection="0"/>
    <xf numFmtId="0" fontId="24" fillId="0" borderId="23" applyNumberFormat="0" applyFill="0" applyAlignment="0" applyProtection="0"/>
    <xf numFmtId="0" fontId="24" fillId="0" borderId="23" applyNumberFormat="0" applyFill="0" applyAlignment="0" applyProtection="0"/>
    <xf numFmtId="0" fontId="24" fillId="0" borderId="23" applyNumberFormat="0" applyFill="0" applyAlignment="0" applyProtection="0"/>
    <xf numFmtId="0" fontId="25" fillId="0" borderId="24" applyNumberFormat="0" applyFill="0" applyAlignment="0" applyProtection="0"/>
    <xf numFmtId="0" fontId="25" fillId="0" borderId="24" applyNumberFormat="0" applyFill="0" applyAlignment="0" applyProtection="0"/>
    <xf numFmtId="0" fontId="25" fillId="0" borderId="24" applyNumberFormat="0" applyFill="0" applyAlignment="0" applyProtection="0"/>
    <xf numFmtId="0" fontId="25" fillId="0" borderId="24" applyNumberFormat="0" applyFill="0" applyAlignment="0" applyProtection="0"/>
    <xf numFmtId="0" fontId="25" fillId="0" borderId="24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4" fillId="0" borderId="0"/>
    <xf numFmtId="0" fontId="20" fillId="20" borderId="22" applyNumberFormat="0" applyAlignment="0" applyProtection="0"/>
    <xf numFmtId="0" fontId="20" fillId="20" borderId="22" applyNumberFormat="0" applyAlignment="0" applyProtection="0"/>
    <xf numFmtId="0" fontId="20" fillId="20" borderId="22" applyNumberFormat="0" applyAlignment="0" applyProtection="0"/>
    <xf numFmtId="0" fontId="20" fillId="20" borderId="22" applyNumberFormat="0" applyAlignment="0" applyProtection="0"/>
    <xf numFmtId="0" fontId="20" fillId="20" borderId="22" applyNumberFormat="0" applyAlignment="0" applyProtection="0"/>
    <xf numFmtId="0" fontId="4" fillId="27" borderId="17" applyNumberFormat="0" applyFont="0" applyAlignment="0" applyProtection="0"/>
    <xf numFmtId="0" fontId="4" fillId="27" borderId="17" applyNumberFormat="0" applyFont="0" applyAlignment="0" applyProtection="0"/>
    <xf numFmtId="0" fontId="4" fillId="27" borderId="17" applyNumberFormat="0" applyFont="0" applyAlignment="0" applyProtection="0"/>
    <xf numFmtId="0" fontId="4" fillId="27" borderId="17" applyNumberFormat="0" applyFont="0" applyAlignment="0" applyProtection="0"/>
    <xf numFmtId="0" fontId="4" fillId="27" borderId="17" applyNumberFormat="0" applyFont="0" applyAlignment="0" applyProtection="0"/>
    <xf numFmtId="0" fontId="17" fillId="11" borderId="19" applyNumberFormat="0" applyAlignment="0" applyProtection="0"/>
    <xf numFmtId="0" fontId="17" fillId="11" borderId="19" applyNumberFormat="0" applyAlignment="0" applyProtection="0"/>
    <xf numFmtId="0" fontId="17" fillId="11" borderId="19" applyNumberFormat="0" applyAlignment="0" applyProtection="0"/>
    <xf numFmtId="0" fontId="17" fillId="11" borderId="19" applyNumberFormat="0" applyAlignment="0" applyProtection="0"/>
    <xf numFmtId="0" fontId="17" fillId="11" borderId="19" applyNumberFormat="0" applyAlignment="0" applyProtection="0"/>
    <xf numFmtId="0" fontId="13" fillId="20" borderId="19" applyNumberFormat="0" applyAlignment="0" applyProtection="0"/>
    <xf numFmtId="0" fontId="13" fillId="20" borderId="19" applyNumberFormat="0" applyAlignment="0" applyProtection="0"/>
    <xf numFmtId="0" fontId="13" fillId="20" borderId="19" applyNumberFormat="0" applyAlignment="0" applyProtection="0"/>
    <xf numFmtId="0" fontId="13" fillId="20" borderId="19" applyNumberFormat="0" applyAlignment="0" applyProtection="0"/>
    <xf numFmtId="0" fontId="13" fillId="20" borderId="19" applyNumberFormat="0" applyAlignment="0" applyProtection="0"/>
    <xf numFmtId="0" fontId="13" fillId="20" borderId="19" applyNumberFormat="0" applyAlignment="0" applyProtection="0"/>
    <xf numFmtId="0" fontId="13" fillId="20" borderId="19" applyNumberFormat="0" applyAlignment="0" applyProtection="0"/>
    <xf numFmtId="0" fontId="13" fillId="20" borderId="19" applyNumberFormat="0" applyAlignment="0" applyProtection="0"/>
    <xf numFmtId="0" fontId="13" fillId="20" borderId="19" applyNumberFormat="0" applyAlignment="0" applyProtection="0"/>
    <xf numFmtId="0" fontId="13" fillId="20" borderId="19" applyNumberFormat="0" applyAlignment="0" applyProtection="0"/>
    <xf numFmtId="0" fontId="17" fillId="11" borderId="19" applyNumberFormat="0" applyAlignment="0" applyProtection="0"/>
    <xf numFmtId="0" fontId="17" fillId="11" borderId="19" applyNumberFormat="0" applyAlignment="0" applyProtection="0"/>
    <xf numFmtId="0" fontId="17" fillId="11" borderId="19" applyNumberFormat="0" applyAlignment="0" applyProtection="0"/>
    <xf numFmtId="0" fontId="17" fillId="11" borderId="19" applyNumberFormat="0" applyAlignment="0" applyProtection="0"/>
    <xf numFmtId="0" fontId="17" fillId="11" borderId="19" applyNumberFormat="0" applyAlignment="0" applyProtection="0"/>
    <xf numFmtId="0" fontId="4" fillId="27" borderId="17" applyNumberFormat="0" applyFont="0" applyAlignment="0" applyProtection="0"/>
    <xf numFmtId="0" fontId="4" fillId="27" borderId="17" applyNumberFormat="0" applyFont="0" applyAlignment="0" applyProtection="0"/>
    <xf numFmtId="0" fontId="4" fillId="27" borderId="17" applyNumberFormat="0" applyFont="0" applyAlignment="0" applyProtection="0"/>
    <xf numFmtId="0" fontId="4" fillId="27" borderId="17" applyNumberFormat="0" applyFont="0" applyAlignment="0" applyProtection="0"/>
    <xf numFmtId="0" fontId="4" fillId="27" borderId="17" applyNumberFormat="0" applyFont="0" applyAlignment="0" applyProtection="0"/>
    <xf numFmtId="0" fontId="20" fillId="20" borderId="22" applyNumberFormat="0" applyAlignment="0" applyProtection="0"/>
    <xf numFmtId="0" fontId="20" fillId="20" borderId="22" applyNumberFormat="0" applyAlignment="0" applyProtection="0"/>
    <xf numFmtId="0" fontId="20" fillId="20" borderId="22" applyNumberFormat="0" applyAlignment="0" applyProtection="0"/>
    <xf numFmtId="0" fontId="20" fillId="20" borderId="22" applyNumberFormat="0" applyAlignment="0" applyProtection="0"/>
    <xf numFmtId="0" fontId="20" fillId="20" borderId="22" applyNumberFormat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9" fontId="1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9" fontId="8" fillId="0" borderId="0" applyFont="0" applyFill="0" applyBorder="0" applyAlignment="0" applyProtection="0"/>
  </cellStyleXfs>
  <cellXfs count="477">
    <xf numFmtId="0" fontId="0" fillId="0" borderId="0" xfId="0"/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vertical="center"/>
    </xf>
    <xf numFmtId="0" fontId="0" fillId="0" borderId="1" xfId="0" applyFont="1" applyFill="1" applyBorder="1"/>
    <xf numFmtId="0" fontId="0" fillId="0" borderId="4" xfId="0" applyFont="1" applyFill="1" applyBorder="1"/>
    <xf numFmtId="0" fontId="0" fillId="0" borderId="3" xfId="0" applyFon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1" xfId="0" applyFont="1" applyBorder="1"/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0" fillId="0" borderId="0" xfId="0"/>
    <xf numFmtId="0" fontId="0" fillId="0" borderId="1" xfId="0" applyBorder="1"/>
    <xf numFmtId="0" fontId="0" fillId="0" borderId="5" xfId="0" applyBorder="1"/>
    <xf numFmtId="169" fontId="0" fillId="0" borderId="1" xfId="0" applyNumberFormat="1" applyFont="1" applyFill="1" applyBorder="1"/>
    <xf numFmtId="9" fontId="0" fillId="0" borderId="0" xfId="1" applyFont="1"/>
    <xf numFmtId="169" fontId="0" fillId="0" borderId="4" xfId="0" applyNumberFormat="1" applyFont="1" applyFill="1" applyBorder="1"/>
    <xf numFmtId="0" fontId="0" fillId="0" borderId="3" xfId="0" applyFont="1" applyFill="1" applyBorder="1" applyAlignment="1">
      <alignment horizontal="center" vertical="center" textRotation="90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 wrapText="1"/>
    </xf>
    <xf numFmtId="0" fontId="0" fillId="0" borderId="3" xfId="0" applyFont="1" applyBorder="1" applyAlignment="1">
      <alignment horizontal="center" vertical="center" textRotation="90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3" xfId="0" applyFont="1" applyBorder="1"/>
    <xf numFmtId="0" fontId="0" fillId="0" borderId="5" xfId="0" applyFont="1" applyBorder="1"/>
    <xf numFmtId="0" fontId="0" fillId="2" borderId="5" xfId="0" applyFont="1" applyFill="1" applyBorder="1" applyAlignment="1">
      <alignment horizontal="left"/>
    </xf>
    <xf numFmtId="169" fontId="0" fillId="2" borderId="5" xfId="0" applyNumberFormat="1" applyFont="1" applyFill="1" applyBorder="1" applyAlignment="1">
      <alignment horizontal="right" vertical="center"/>
    </xf>
    <xf numFmtId="169" fontId="0" fillId="2" borderId="1" xfId="0" applyNumberFormat="1" applyFont="1" applyFill="1" applyBorder="1" applyAlignment="1">
      <alignment horizontal="right" vertical="center"/>
    </xf>
    <xf numFmtId="0" fontId="0" fillId="2" borderId="5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left" vertical="center"/>
    </xf>
    <xf numFmtId="169" fontId="0" fillId="0" borderId="5" xfId="0" applyNumberFormat="1" applyFont="1" applyBorder="1"/>
    <xf numFmtId="169" fontId="0" fillId="0" borderId="1" xfId="0" applyNumberFormat="1" applyFont="1" applyBorder="1"/>
    <xf numFmtId="9" fontId="0" fillId="0" borderId="13" xfId="1" applyFont="1" applyFill="1" applyBorder="1" applyAlignment="1">
      <alignment horizontal="center"/>
    </xf>
    <xf numFmtId="9" fontId="0" fillId="0" borderId="3" xfId="1" applyFont="1" applyFill="1" applyBorder="1" applyAlignment="1">
      <alignment horizontal="center"/>
    </xf>
    <xf numFmtId="9" fontId="0" fillId="0" borderId="11" xfId="1" applyFont="1" applyBorder="1" applyAlignment="1">
      <alignment horizontal="center"/>
    </xf>
    <xf numFmtId="9" fontId="0" fillId="0" borderId="13" xfId="1" applyFont="1" applyBorder="1" applyAlignment="1">
      <alignment horizontal="center"/>
    </xf>
    <xf numFmtId="9" fontId="0" fillId="0" borderId="3" xfId="1" applyFont="1" applyBorder="1" applyAlignment="1">
      <alignment horizontal="center"/>
    </xf>
    <xf numFmtId="169" fontId="0" fillId="0" borderId="7" xfId="0" applyNumberFormat="1" applyBorder="1" applyAlignment="1">
      <alignment vertical="center"/>
    </xf>
    <xf numFmtId="0" fontId="0" fillId="0" borderId="7" xfId="0" applyNumberFormat="1" applyBorder="1" applyAlignment="1">
      <alignment horizontal="center" vertical="center"/>
    </xf>
    <xf numFmtId="169" fontId="0" fillId="0" borderId="1" xfId="0" applyNumberFormat="1" applyBorder="1"/>
    <xf numFmtId="169" fontId="0" fillId="0" borderId="10" xfId="0" applyNumberFormat="1" applyBorder="1"/>
    <xf numFmtId="169" fontId="0" fillId="0" borderId="5" xfId="0" applyNumberFormat="1" applyBorder="1"/>
    <xf numFmtId="169" fontId="0" fillId="0" borderId="18" xfId="0" applyNumberFormat="1" applyBorder="1"/>
    <xf numFmtId="9" fontId="0" fillId="0" borderId="9" xfId="1" applyFont="1" applyBorder="1" applyAlignment="1">
      <alignment horizontal="center"/>
    </xf>
    <xf numFmtId="9" fontId="0" fillId="0" borderId="6" xfId="1" applyFont="1" applyBorder="1" applyAlignment="1">
      <alignment horizontal="center"/>
    </xf>
    <xf numFmtId="9" fontId="0" fillId="0" borderId="28" xfId="1" applyFont="1" applyBorder="1" applyAlignment="1">
      <alignment horizontal="center" vertical="center"/>
    </xf>
    <xf numFmtId="169" fontId="0" fillId="0" borderId="18" xfId="0" applyNumberFormat="1" applyBorder="1" applyAlignment="1">
      <alignment vertical="center"/>
    </xf>
    <xf numFmtId="9" fontId="0" fillId="0" borderId="8" xfId="1" applyFont="1" applyFill="1" applyBorder="1" applyAlignment="1">
      <alignment horizontal="center"/>
    </xf>
    <xf numFmtId="14" fontId="0" fillId="0" borderId="0" xfId="0" applyNumberFormat="1"/>
    <xf numFmtId="0" fontId="29" fillId="3" borderId="1" xfId="0" applyFont="1" applyFill="1" applyBorder="1" applyAlignment="1">
      <alignment horizontal="center" vertical="center" wrapText="1"/>
    </xf>
    <xf numFmtId="0" fontId="0" fillId="0" borderId="0" xfId="0"/>
    <xf numFmtId="0" fontId="29" fillId="3" borderId="1" xfId="0" applyFont="1" applyFill="1" applyBorder="1" applyAlignment="1">
      <alignment horizontal="center" vertical="center"/>
    </xf>
    <xf numFmtId="0" fontId="29" fillId="3" borderId="1" xfId="0" applyNumberFormat="1" applyFont="1" applyFill="1" applyBorder="1" applyAlignment="1">
      <alignment horizontal="center" vertical="center"/>
    </xf>
    <xf numFmtId="9" fontId="29" fillId="3" borderId="1" xfId="1" applyFont="1" applyFill="1" applyBorder="1" applyAlignment="1">
      <alignment horizontal="center" vertical="center"/>
    </xf>
    <xf numFmtId="168" fontId="29" fillId="3" borderId="1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1" xfId="0" applyBorder="1"/>
    <xf numFmtId="170" fontId="0" fillId="0" borderId="1" xfId="0" applyNumberFormat="1" applyBorder="1" applyAlignment="1">
      <alignment horizontal="center" vertical="center"/>
    </xf>
    <xf numFmtId="9" fontId="0" fillId="0" borderId="3" xfId="1" applyFont="1" applyBorder="1" applyAlignment="1">
      <alignment horizontal="center" vertical="center"/>
    </xf>
    <xf numFmtId="170" fontId="0" fillId="0" borderId="3" xfId="0" applyNumberFormat="1" applyBorder="1" applyAlignment="1">
      <alignment horizontal="center" vertical="center"/>
    </xf>
    <xf numFmtId="169" fontId="0" fillId="0" borderId="0" xfId="0" applyNumberFormat="1" applyAlignment="1">
      <alignment horizontal="center"/>
    </xf>
    <xf numFmtId="9" fontId="0" fillId="0" borderId="0" xfId="1" applyFont="1" applyAlignment="1">
      <alignment horizontal="center"/>
    </xf>
    <xf numFmtId="169" fontId="0" fillId="0" borderId="3" xfId="0" applyNumberFormat="1" applyBorder="1" applyAlignment="1">
      <alignment horizontal="center"/>
    </xf>
    <xf numFmtId="9" fontId="0" fillId="0" borderId="1" xfId="1" applyFont="1" applyBorder="1" applyAlignment="1">
      <alignment horizontal="center" vertical="center"/>
    </xf>
    <xf numFmtId="170" fontId="0" fillId="0" borderId="1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0" fontId="0" fillId="0" borderId="3" xfId="0" applyNumberFormat="1" applyFill="1" applyBorder="1" applyAlignment="1">
      <alignment horizontal="center" vertical="center"/>
    </xf>
    <xf numFmtId="169" fontId="0" fillId="0" borderId="3" xfId="0" applyNumberFormat="1" applyFill="1" applyBorder="1" applyAlignment="1">
      <alignment horizontal="center"/>
    </xf>
    <xf numFmtId="1" fontId="0" fillId="0" borderId="0" xfId="0" applyNumberFormat="1" applyAlignment="1">
      <alignment horizontal="center" vertical="center"/>
    </xf>
    <xf numFmtId="1" fontId="0" fillId="0" borderId="0" xfId="0" applyNumberFormat="1"/>
    <xf numFmtId="14" fontId="29" fillId="3" borderId="1" xfId="1" applyNumberFormat="1" applyFont="1" applyFill="1" applyBorder="1" applyAlignment="1">
      <alignment horizontal="center" vertical="center"/>
    </xf>
    <xf numFmtId="14" fontId="0" fillId="0" borderId="0" xfId="1" applyNumberFormat="1" applyFont="1" applyAlignment="1">
      <alignment horizontal="center"/>
    </xf>
    <xf numFmtId="9" fontId="0" fillId="0" borderId="1" xfId="1" applyFont="1" applyFill="1" applyBorder="1" applyAlignment="1">
      <alignment horizontal="center" vertical="center"/>
    </xf>
    <xf numFmtId="169" fontId="0" fillId="0" borderId="3" xfId="0" applyNumberFormat="1" applyBorder="1" applyAlignment="1">
      <alignment horizontal="center" vertical="center"/>
    </xf>
    <xf numFmtId="169" fontId="0" fillId="0" borderId="1" xfId="0" applyNumberFormat="1" applyBorder="1" applyAlignment="1">
      <alignment horizontal="center" vertical="center"/>
    </xf>
    <xf numFmtId="169" fontId="0" fillId="0" borderId="1" xfId="0" applyNumberFormat="1" applyFill="1" applyBorder="1" applyAlignment="1">
      <alignment horizontal="center" vertical="center"/>
    </xf>
    <xf numFmtId="0" fontId="2" fillId="32" borderId="2" xfId="0" applyFont="1" applyFill="1" applyBorder="1" applyAlignment="1">
      <alignment horizontal="center" vertical="center" wrapText="1"/>
    </xf>
    <xf numFmtId="0" fontId="2" fillId="0" borderId="1" xfId="0" applyFont="1" applyBorder="1"/>
    <xf numFmtId="172" fontId="0" fillId="0" borderId="3" xfId="1" applyNumberFormat="1" applyFont="1" applyBorder="1" applyAlignment="1">
      <alignment horizontal="center" vertical="center"/>
    </xf>
    <xf numFmtId="170" fontId="0" fillId="0" borderId="0" xfId="0" applyNumberFormat="1"/>
    <xf numFmtId="166" fontId="0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31" borderId="3" xfId="0" applyFont="1" applyFill="1" applyBorder="1" applyAlignment="1">
      <alignment horizontal="center" vertical="center"/>
    </xf>
    <xf numFmtId="169" fontId="0" fillId="0" borderId="0" xfId="0" applyNumberFormat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9" fontId="0" fillId="0" borderId="0" xfId="1" applyFont="1" applyFill="1" applyBorder="1" applyAlignment="1">
      <alignment horizontal="center" vertical="center"/>
    </xf>
    <xf numFmtId="0" fontId="2" fillId="31" borderId="10" xfId="0" applyFont="1" applyFill="1" applyBorder="1" applyAlignment="1">
      <alignment horizontal="center" vertical="center"/>
    </xf>
    <xf numFmtId="0" fontId="2" fillId="31" borderId="5" xfId="0" applyFont="1" applyFill="1" applyBorder="1" applyAlignment="1">
      <alignment horizontal="center" vertical="center"/>
    </xf>
    <xf numFmtId="0" fontId="2" fillId="31" borderId="5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 wrapText="1"/>
    </xf>
    <xf numFmtId="0" fontId="0" fillId="32" borderId="4" xfId="0" applyFont="1" applyFill="1" applyBorder="1" applyAlignment="1">
      <alignment horizontal="left"/>
    </xf>
    <xf numFmtId="0" fontId="0" fillId="32" borderId="1" xfId="0" applyFont="1" applyFill="1" applyBorder="1" applyAlignment="1">
      <alignment horizontal="left"/>
    </xf>
    <xf numFmtId="169" fontId="0" fillId="32" borderId="1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36" borderId="1" xfId="0" applyFont="1" applyFill="1" applyBorder="1" applyAlignment="1">
      <alignment horizontal="center" vertical="center"/>
    </xf>
    <xf numFmtId="172" fontId="0" fillId="0" borderId="0" xfId="1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0" fontId="2" fillId="37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9" fontId="0" fillId="0" borderId="13" xfId="1" applyFont="1" applyBorder="1" applyAlignment="1">
      <alignment horizontal="center" vertical="center"/>
    </xf>
    <xf numFmtId="166" fontId="0" fillId="0" borderId="10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6" fontId="0" fillId="0" borderId="5" xfId="0" applyNumberFormat="1" applyBorder="1" applyAlignment="1">
      <alignment horizontal="center" vertical="center"/>
    </xf>
    <xf numFmtId="9" fontId="0" fillId="0" borderId="11" xfId="1" applyFont="1" applyBorder="1" applyAlignment="1">
      <alignment horizontal="center" vertical="center"/>
    </xf>
    <xf numFmtId="171" fontId="0" fillId="0" borderId="10" xfId="0" applyNumberFormat="1" applyBorder="1" applyAlignment="1">
      <alignment horizontal="center" vertical="center"/>
    </xf>
    <xf numFmtId="0" fontId="32" fillId="30" borderId="5" xfId="0" applyFont="1" applyFill="1" applyBorder="1" applyAlignment="1">
      <alignment horizontal="left" vertical="center" wrapText="1"/>
    </xf>
    <xf numFmtId="0" fontId="32" fillId="30" borderId="1" xfId="0" applyFont="1" applyFill="1" applyBorder="1" applyAlignment="1">
      <alignment horizontal="left" vertical="center" wrapText="1"/>
    </xf>
    <xf numFmtId="0" fontId="30" fillId="32" borderId="4" xfId="0" applyFont="1" applyFill="1" applyBorder="1" applyAlignment="1">
      <alignment horizontal="center" vertical="center"/>
    </xf>
    <xf numFmtId="0" fontId="30" fillId="32" borderId="1" xfId="0" applyFont="1" applyFill="1" applyBorder="1" applyAlignment="1">
      <alignment horizontal="center" vertical="center"/>
    </xf>
    <xf numFmtId="0" fontId="30" fillId="32" borderId="5" xfId="0" applyFont="1" applyFill="1" applyBorder="1" applyAlignment="1">
      <alignment horizontal="left" vertical="center"/>
    </xf>
    <xf numFmtId="0" fontId="30" fillId="32" borderId="1" xfId="0" applyFont="1" applyFill="1" applyBorder="1" applyAlignment="1">
      <alignment horizontal="left" vertical="center" wrapText="1"/>
    </xf>
    <xf numFmtId="0" fontId="30" fillId="32" borderId="1" xfId="0" applyFont="1" applyFill="1" applyBorder="1" applyAlignment="1">
      <alignment horizontal="left" vertical="center"/>
    </xf>
    <xf numFmtId="0" fontId="0" fillId="0" borderId="0" xfId="0" applyFill="1"/>
    <xf numFmtId="9" fontId="0" fillId="0" borderId="0" xfId="1" applyFont="1" applyFill="1"/>
    <xf numFmtId="14" fontId="0" fillId="0" borderId="0" xfId="1" applyNumberFormat="1" applyFont="1" applyFill="1" applyAlignment="1">
      <alignment horizontal="center"/>
    </xf>
    <xf numFmtId="14" fontId="0" fillId="0" borderId="0" xfId="0" applyNumberFormat="1" applyFill="1"/>
    <xf numFmtId="0" fontId="2" fillId="0" borderId="0" xfId="0" applyFont="1"/>
    <xf numFmtId="9" fontId="2" fillId="0" borderId="0" xfId="1" applyFont="1"/>
    <xf numFmtId="14" fontId="2" fillId="0" borderId="0" xfId="1" applyNumberFormat="1" applyFont="1" applyAlignment="1">
      <alignment horizontal="center"/>
    </xf>
    <xf numFmtId="14" fontId="2" fillId="0" borderId="0" xfId="0" applyNumberFormat="1" applyFont="1"/>
    <xf numFmtId="0" fontId="2" fillId="0" borderId="0" xfId="0" applyFont="1" applyFill="1"/>
    <xf numFmtId="2" fontId="2" fillId="0" borderId="0" xfId="0" applyNumberFormat="1" applyFont="1" applyFill="1"/>
    <xf numFmtId="1" fontId="2" fillId="0" borderId="0" xfId="0" applyNumberFormat="1" applyFont="1" applyFill="1"/>
    <xf numFmtId="0" fontId="2" fillId="38" borderId="35" xfId="0" applyFont="1" applyFill="1" applyBorder="1" applyAlignment="1">
      <alignment horizontal="center" vertical="center" wrapText="1"/>
    </xf>
    <xf numFmtId="0" fontId="2" fillId="38" borderId="1" xfId="0" applyFont="1" applyFill="1" applyBorder="1" applyAlignment="1">
      <alignment horizontal="center" vertical="center"/>
    </xf>
    <xf numFmtId="9" fontId="0" fillId="0" borderId="35" xfId="1" applyFont="1" applyBorder="1" applyAlignment="1">
      <alignment horizontal="center" vertical="center"/>
    </xf>
    <xf numFmtId="170" fontId="0" fillId="0" borderId="35" xfId="0" applyNumberFormat="1" applyFill="1" applyBorder="1" applyAlignment="1">
      <alignment horizontal="center" vertical="center"/>
    </xf>
    <xf numFmtId="169" fontId="0" fillId="0" borderId="35" xfId="0" applyNumberFormat="1" applyBorder="1" applyAlignment="1">
      <alignment horizontal="center" vertical="center"/>
    </xf>
    <xf numFmtId="170" fontId="0" fillId="0" borderId="35" xfId="0" applyNumberFormat="1" applyBorder="1" applyAlignment="1">
      <alignment horizontal="center" vertical="center"/>
    </xf>
    <xf numFmtId="173" fontId="0" fillId="32" borderId="4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1" fontId="0" fillId="39" borderId="3" xfId="0" applyNumberFormat="1" applyFont="1" applyFill="1" applyBorder="1"/>
    <xf numFmtId="1" fontId="0" fillId="39" borderId="0" xfId="0" applyNumberFormat="1" applyFill="1"/>
    <xf numFmtId="166" fontId="0" fillId="32" borderId="0" xfId="0" applyNumberFormat="1" applyFill="1"/>
    <xf numFmtId="0" fontId="2" fillId="32" borderId="39" xfId="0" applyFont="1" applyFill="1" applyBorder="1" applyAlignment="1">
      <alignment horizontal="center" vertical="center" wrapText="1"/>
    </xf>
    <xf numFmtId="9" fontId="2" fillId="0" borderId="0" xfId="1" applyFont="1" applyFill="1"/>
    <xf numFmtId="14" fontId="2" fillId="0" borderId="0" xfId="1" applyNumberFormat="1" applyFont="1" applyFill="1" applyAlignment="1">
      <alignment horizontal="center"/>
    </xf>
    <xf numFmtId="14" fontId="2" fillId="0" borderId="0" xfId="0" applyNumberFormat="1" applyFont="1" applyFill="1"/>
    <xf numFmtId="0" fontId="30" fillId="32" borderId="4" xfId="0" applyFont="1" applyFill="1" applyBorder="1" applyAlignment="1">
      <alignment horizontal="left" vertical="center"/>
    </xf>
    <xf numFmtId="169" fontId="0" fillId="32" borderId="4" xfId="0" applyNumberFormat="1" applyFont="1" applyFill="1" applyBorder="1" applyAlignment="1">
      <alignment horizontal="right" vertical="center"/>
    </xf>
    <xf numFmtId="169" fontId="0" fillId="32" borderId="40" xfId="0" applyNumberFormat="1" applyFont="1" applyFill="1" applyBorder="1" applyAlignment="1">
      <alignment horizontal="right" vertical="center"/>
    </xf>
    <xf numFmtId="166" fontId="0" fillId="0" borderId="40" xfId="0" applyNumberFormat="1" applyFont="1" applyFill="1" applyBorder="1" applyAlignment="1">
      <alignment horizontal="center" vertical="center"/>
    </xf>
    <xf numFmtId="0" fontId="0" fillId="0" borderId="40" xfId="0" applyFont="1" applyBorder="1"/>
    <xf numFmtId="174" fontId="0" fillId="39" borderId="3" xfId="0" applyNumberFormat="1" applyFont="1" applyFill="1" applyBorder="1"/>
    <xf numFmtId="166" fontId="0" fillId="0" borderId="4" xfId="0" applyNumberFormat="1" applyFont="1" applyFill="1" applyBorder="1" applyAlignment="1">
      <alignment horizontal="center" vertical="center"/>
    </xf>
    <xf numFmtId="9" fontId="0" fillId="0" borderId="41" xfId="1" applyFont="1" applyFill="1" applyBorder="1" applyAlignment="1">
      <alignment horizontal="center"/>
    </xf>
    <xf numFmtId="169" fontId="0" fillId="0" borderId="27" xfId="0" applyNumberFormat="1" applyBorder="1" applyAlignment="1">
      <alignment vertical="center"/>
    </xf>
    <xf numFmtId="0" fontId="0" fillId="0" borderId="34" xfId="0" applyNumberFormat="1" applyBorder="1" applyAlignment="1">
      <alignment horizontal="center" vertical="center"/>
    </xf>
    <xf numFmtId="169" fontId="0" fillId="0" borderId="34" xfId="0" applyNumberFormat="1" applyBorder="1" applyAlignment="1">
      <alignment vertical="center"/>
    </xf>
    <xf numFmtId="9" fontId="0" fillId="0" borderId="4" xfId="1" applyFont="1" applyFill="1" applyBorder="1" applyAlignment="1">
      <alignment horizontal="center"/>
    </xf>
    <xf numFmtId="169" fontId="0" fillId="0" borderId="4" xfId="0" applyNumberFormat="1" applyBorder="1" applyAlignment="1">
      <alignment vertical="center"/>
    </xf>
    <xf numFmtId="0" fontId="0" fillId="0" borderId="4" xfId="0" applyNumberFormat="1" applyBorder="1" applyAlignment="1">
      <alignment horizontal="center" vertical="center"/>
    </xf>
    <xf numFmtId="0" fontId="0" fillId="0" borderId="42" xfId="0" applyFont="1" applyFill="1" applyBorder="1" applyAlignment="1">
      <alignment horizontal="left"/>
    </xf>
    <xf numFmtId="1" fontId="0" fillId="39" borderId="42" xfId="0" applyNumberFormat="1" applyFont="1" applyFill="1" applyBorder="1"/>
    <xf numFmtId="0" fontId="0" fillId="0" borderId="42" xfId="0" applyFont="1" applyFill="1" applyBorder="1"/>
    <xf numFmtId="169" fontId="0" fillId="0" borderId="42" xfId="0" applyNumberFormat="1" applyFont="1" applyFill="1" applyBorder="1"/>
    <xf numFmtId="9" fontId="0" fillId="0" borderId="42" xfId="1" applyFont="1" applyFill="1" applyBorder="1" applyAlignment="1">
      <alignment horizontal="center"/>
    </xf>
    <xf numFmtId="169" fontId="0" fillId="0" borderId="42" xfId="0" applyNumberFormat="1" applyFill="1" applyBorder="1"/>
    <xf numFmtId="169" fontId="0" fillId="0" borderId="42" xfId="0" applyNumberFormat="1" applyBorder="1" applyAlignment="1">
      <alignment horizontal="center" vertical="center"/>
    </xf>
    <xf numFmtId="170" fontId="0" fillId="0" borderId="42" xfId="0" applyNumberFormat="1" applyBorder="1"/>
    <xf numFmtId="170" fontId="0" fillId="0" borderId="42" xfId="0" applyNumberFormat="1" applyBorder="1" applyAlignment="1">
      <alignment horizontal="center" vertical="center"/>
    </xf>
    <xf numFmtId="0" fontId="30" fillId="32" borderId="37" xfId="0" applyFont="1" applyFill="1" applyBorder="1" applyAlignment="1">
      <alignment horizontal="left" vertical="center" wrapText="1"/>
    </xf>
    <xf numFmtId="0" fontId="0" fillId="2" borderId="37" xfId="0" applyFill="1" applyBorder="1" applyAlignment="1">
      <alignment horizontal="center" vertical="center"/>
    </xf>
    <xf numFmtId="0" fontId="35" fillId="30" borderId="37" xfId="0" applyFont="1" applyFill="1" applyBorder="1" applyAlignment="1">
      <alignment horizontal="left" vertical="center"/>
    </xf>
    <xf numFmtId="175" fontId="0" fillId="0" borderId="1" xfId="0" applyNumberForma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42" borderId="0" xfId="0" applyFill="1"/>
    <xf numFmtId="0" fontId="2" fillId="42" borderId="1" xfId="0" applyFont="1" applyFill="1" applyBorder="1" applyAlignment="1">
      <alignment horizontal="center" vertical="center"/>
    </xf>
    <xf numFmtId="0" fontId="31" fillId="42" borderId="1" xfId="0" applyFont="1" applyFill="1" applyBorder="1" applyAlignment="1">
      <alignment horizontal="center" vertical="center" wrapText="1"/>
    </xf>
    <xf numFmtId="0" fontId="30" fillId="42" borderId="1" xfId="0" applyFont="1" applyFill="1" applyBorder="1" applyAlignment="1">
      <alignment horizontal="center" vertical="center"/>
    </xf>
    <xf numFmtId="0" fontId="0" fillId="42" borderId="1" xfId="0" applyFill="1" applyBorder="1" applyAlignment="1">
      <alignment horizontal="center" vertical="center"/>
    </xf>
    <xf numFmtId="0" fontId="0" fillId="31" borderId="1" xfId="0" applyFill="1" applyBorder="1" applyAlignment="1">
      <alignment horizontal="center"/>
    </xf>
    <xf numFmtId="0" fontId="0" fillId="31" borderId="35" xfId="0" applyFill="1" applyBorder="1" applyAlignment="1">
      <alignment horizontal="center"/>
    </xf>
    <xf numFmtId="0" fontId="2" fillId="41" borderId="1" xfId="0" applyFont="1" applyFill="1" applyBorder="1" applyAlignment="1">
      <alignment horizontal="center" vertical="center" wrapText="1"/>
    </xf>
    <xf numFmtId="0" fontId="2" fillId="41" borderId="1" xfId="0" applyFont="1" applyFill="1" applyBorder="1" applyAlignment="1">
      <alignment horizontal="center" vertical="center"/>
    </xf>
    <xf numFmtId="0" fontId="0" fillId="3" borderId="0" xfId="0" applyFill="1"/>
    <xf numFmtId="0" fontId="0" fillId="32" borderId="1" xfId="0" applyFill="1" applyBorder="1"/>
    <xf numFmtId="169" fontId="0" fillId="32" borderId="1" xfId="0" applyNumberFormat="1" applyFill="1" applyBorder="1" applyAlignment="1">
      <alignment horizontal="right" vertical="center"/>
    </xf>
    <xf numFmtId="169" fontId="0" fillId="32" borderId="1" xfId="0" applyNumberFormat="1" applyFill="1" applyBorder="1" applyAlignment="1">
      <alignment horizontal="center" vertical="center"/>
    </xf>
    <xf numFmtId="9" fontId="0" fillId="32" borderId="1" xfId="1" applyFont="1" applyFill="1" applyBorder="1" applyAlignment="1">
      <alignment horizontal="center" vertical="center"/>
    </xf>
    <xf numFmtId="169" fontId="0" fillId="29" borderId="35" xfId="0" applyNumberFormat="1" applyFill="1" applyBorder="1" applyAlignment="1">
      <alignment horizontal="center" vertical="center"/>
    </xf>
    <xf numFmtId="9" fontId="0" fillId="29" borderId="35" xfId="1" applyFont="1" applyFill="1" applyBorder="1" applyAlignment="1">
      <alignment horizontal="center" vertical="center"/>
    </xf>
    <xf numFmtId="169" fontId="0" fillId="29" borderId="4" xfId="0" applyNumberFormat="1" applyFill="1" applyBorder="1" applyAlignment="1">
      <alignment horizontal="center" vertical="center"/>
    </xf>
    <xf numFmtId="9" fontId="0" fillId="29" borderId="4" xfId="1" applyFont="1" applyFill="1" applyBorder="1" applyAlignment="1">
      <alignment horizontal="center" vertical="center"/>
    </xf>
    <xf numFmtId="169" fontId="0" fillId="29" borderId="1" xfId="0" applyNumberFormat="1" applyFill="1" applyBorder="1" applyAlignment="1">
      <alignment horizontal="center" vertical="center"/>
    </xf>
    <xf numFmtId="9" fontId="0" fillId="29" borderId="1" xfId="1" applyFont="1" applyFill="1" applyBorder="1" applyAlignment="1">
      <alignment horizontal="center" vertical="center"/>
    </xf>
    <xf numFmtId="0" fontId="2" fillId="29" borderId="1" xfId="0" applyFont="1" applyFill="1" applyBorder="1" applyAlignment="1">
      <alignment horizontal="center" vertical="center"/>
    </xf>
    <xf numFmtId="0" fontId="2" fillId="29" borderId="1" xfId="0" applyFont="1" applyFill="1" applyBorder="1" applyAlignment="1">
      <alignment horizontal="center" vertical="center" wrapText="1"/>
    </xf>
    <xf numFmtId="0" fontId="0" fillId="42" borderId="44" xfId="0" applyFill="1" applyBorder="1" applyAlignment="1">
      <alignment horizontal="center" vertical="center" wrapText="1"/>
    </xf>
    <xf numFmtId="0" fontId="0" fillId="42" borderId="44" xfId="0" applyFill="1" applyBorder="1"/>
    <xf numFmtId="169" fontId="0" fillId="42" borderId="44" xfId="0" applyNumberFormat="1" applyFill="1" applyBorder="1" applyAlignment="1">
      <alignment horizontal="right" vertical="center"/>
    </xf>
    <xf numFmtId="169" fontId="0" fillId="42" borderId="44" xfId="0" applyNumberFormat="1" applyFill="1" applyBorder="1" applyAlignment="1">
      <alignment horizontal="center" vertical="center"/>
    </xf>
    <xf numFmtId="169" fontId="2" fillId="42" borderId="44" xfId="0" applyNumberFormat="1" applyFont="1" applyFill="1" applyBorder="1" applyAlignment="1">
      <alignment horizontal="center" vertical="center"/>
    </xf>
    <xf numFmtId="172" fontId="0" fillId="42" borderId="44" xfId="1" applyNumberFormat="1" applyFont="1" applyFill="1" applyBorder="1" applyAlignment="1">
      <alignment horizontal="center" vertical="center"/>
    </xf>
    <xf numFmtId="14" fontId="2" fillId="42" borderId="44" xfId="0" applyNumberFormat="1" applyFont="1" applyFill="1" applyBorder="1" applyAlignment="1">
      <alignment horizontal="center" vertical="center"/>
    </xf>
    <xf numFmtId="9" fontId="0" fillId="42" borderId="44" xfId="1" applyFont="1" applyFill="1" applyBorder="1" applyAlignment="1">
      <alignment horizontal="center" vertical="center"/>
    </xf>
    <xf numFmtId="0" fontId="30" fillId="42" borderId="44" xfId="0" applyFont="1" applyFill="1" applyBorder="1" applyAlignment="1">
      <alignment horizontal="center" vertical="center" wrapText="1"/>
    </xf>
    <xf numFmtId="169" fontId="0" fillId="42" borderId="44" xfId="0" applyNumberFormat="1" applyFont="1" applyFill="1" applyBorder="1" applyAlignment="1">
      <alignment horizontal="center" vertical="center"/>
    </xf>
    <xf numFmtId="0" fontId="0" fillId="32" borderId="36" xfId="0" applyFill="1" applyBorder="1" applyAlignment="1">
      <alignment horizontal="center" vertical="center" wrapText="1"/>
    </xf>
    <xf numFmtId="0" fontId="30" fillId="32" borderId="36" xfId="0" applyFont="1" applyFill="1" applyBorder="1" applyAlignment="1">
      <alignment horizontal="center" vertical="center" wrapText="1"/>
    </xf>
    <xf numFmtId="0" fontId="0" fillId="32" borderId="1" xfId="0" applyFill="1" applyBorder="1" applyAlignment="1">
      <alignment horizontal="center" vertical="center"/>
    </xf>
    <xf numFmtId="0" fontId="0" fillId="32" borderId="4" xfId="0" applyFill="1" applyBorder="1" applyAlignment="1">
      <alignment horizontal="center" vertical="center"/>
    </xf>
    <xf numFmtId="0" fontId="30" fillId="3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30" fillId="2" borderId="1" xfId="0" applyFont="1" applyFill="1" applyBorder="1" applyAlignment="1">
      <alignment horizontal="center"/>
    </xf>
    <xf numFmtId="0" fontId="0" fillId="2" borderId="1" xfId="0" applyFill="1" applyBorder="1"/>
    <xf numFmtId="169" fontId="0" fillId="2" borderId="1" xfId="0" applyNumberFormat="1" applyFill="1" applyBorder="1" applyAlignment="1">
      <alignment horizontal="right" vertical="center"/>
    </xf>
    <xf numFmtId="169" fontId="0" fillId="2" borderId="1" xfId="0" applyNumberFormat="1" applyFill="1" applyBorder="1" applyAlignment="1">
      <alignment horizontal="center" vertical="center"/>
    </xf>
    <xf numFmtId="9" fontId="0" fillId="2" borderId="1" xfId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4" fontId="36" fillId="32" borderId="1" xfId="0" applyNumberFormat="1" applyFont="1" applyFill="1" applyBorder="1" applyAlignment="1">
      <alignment horizontal="center" vertical="center"/>
    </xf>
    <xf numFmtId="9" fontId="0" fillId="0" borderId="44" xfId="1" applyFont="1" applyBorder="1" applyAlignment="1">
      <alignment horizontal="center" vertical="center"/>
    </xf>
    <xf numFmtId="14" fontId="0" fillId="0" borderId="44" xfId="0" applyNumberFormat="1" applyBorder="1" applyAlignment="1">
      <alignment horizontal="center" vertical="center"/>
    </xf>
    <xf numFmtId="170" fontId="7" fillId="0" borderId="0" xfId="0" applyNumberFormat="1" applyFont="1" applyAlignment="1">
      <alignment horizontal="center"/>
    </xf>
    <xf numFmtId="169" fontId="7" fillId="0" borderId="0" xfId="0" applyNumberFormat="1" applyFont="1" applyAlignment="1">
      <alignment horizontal="center"/>
    </xf>
    <xf numFmtId="0" fontId="7" fillId="0" borderId="0" xfId="0" applyFont="1"/>
    <xf numFmtId="0" fontId="0" fillId="32" borderId="44" xfId="0" applyFont="1" applyFill="1" applyBorder="1" applyAlignment="1">
      <alignment horizontal="center" vertical="center"/>
    </xf>
    <xf numFmtId="14" fontId="0" fillId="32" borderId="44" xfId="0" applyNumberFormat="1" applyFont="1" applyFill="1" applyBorder="1" applyAlignment="1">
      <alignment horizontal="center" vertical="center"/>
    </xf>
    <xf numFmtId="169" fontId="36" fillId="32" borderId="1" xfId="0" applyNumberFormat="1" applyFont="1" applyFill="1" applyBorder="1" applyAlignment="1">
      <alignment horizontal="center" vertical="center"/>
    </xf>
    <xf numFmtId="169" fontId="36" fillId="2" borderId="1" xfId="0" applyNumberFormat="1" applyFont="1" applyFill="1" applyBorder="1" applyAlignment="1">
      <alignment horizontal="center" vertical="center"/>
    </xf>
    <xf numFmtId="172" fontId="36" fillId="2" borderId="1" xfId="1" applyNumberFormat="1" applyFont="1" applyFill="1" applyBorder="1" applyAlignment="1">
      <alignment horizontal="center" vertical="center"/>
    </xf>
    <xf numFmtId="14" fontId="36" fillId="2" borderId="1" xfId="0" applyNumberFormat="1" applyFont="1" applyFill="1" applyBorder="1" applyAlignment="1">
      <alignment horizontal="center" vertical="center"/>
    </xf>
    <xf numFmtId="169" fontId="36" fillId="29" borderId="1" xfId="0" applyNumberFormat="1" applyFont="1" applyFill="1" applyBorder="1" applyAlignment="1">
      <alignment horizontal="center" vertical="center"/>
    </xf>
    <xf numFmtId="172" fontId="36" fillId="29" borderId="1" xfId="1" applyNumberFormat="1" applyFont="1" applyFill="1" applyBorder="1" applyAlignment="1">
      <alignment horizontal="center" vertical="center"/>
    </xf>
    <xf numFmtId="0" fontId="0" fillId="44" borderId="44" xfId="0" applyFill="1" applyBorder="1" applyAlignment="1">
      <alignment horizontal="center" vertical="center"/>
    </xf>
    <xf numFmtId="0" fontId="30" fillId="44" borderId="44" xfId="0" applyFont="1" applyFill="1" applyBorder="1" applyAlignment="1">
      <alignment horizontal="center"/>
    </xf>
    <xf numFmtId="0" fontId="0" fillId="44" borderId="44" xfId="0" applyFill="1" applyBorder="1"/>
    <xf numFmtId="169" fontId="0" fillId="44" borderId="44" xfId="0" applyNumberFormat="1" applyFill="1" applyBorder="1" applyAlignment="1">
      <alignment horizontal="right" vertical="center"/>
    </xf>
    <xf numFmtId="169" fontId="0" fillId="44" borderId="44" xfId="0" applyNumberFormat="1" applyFill="1" applyBorder="1" applyAlignment="1">
      <alignment horizontal="center" vertical="center"/>
    </xf>
    <xf numFmtId="169" fontId="2" fillId="44" borderId="44" xfId="0" applyNumberFormat="1" applyFont="1" applyFill="1" applyBorder="1" applyAlignment="1">
      <alignment horizontal="center" vertical="center"/>
    </xf>
    <xf numFmtId="172" fontId="0" fillId="44" borderId="44" xfId="1" applyNumberFormat="1" applyFont="1" applyFill="1" applyBorder="1" applyAlignment="1">
      <alignment horizontal="center" vertical="center"/>
    </xf>
    <xf numFmtId="14" fontId="2" fillId="44" borderId="44" xfId="0" applyNumberFormat="1" applyFont="1" applyFill="1" applyBorder="1" applyAlignment="1">
      <alignment horizontal="center" vertical="center"/>
    </xf>
    <xf numFmtId="9" fontId="0" fillId="44" borderId="44" xfId="1" applyFont="1" applyFill="1" applyBorder="1" applyAlignment="1">
      <alignment horizontal="center" vertical="center"/>
    </xf>
    <xf numFmtId="169" fontId="0" fillId="44" borderId="44" xfId="0" applyNumberFormat="1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40" fillId="32" borderId="35" xfId="0" applyFont="1" applyFill="1" applyBorder="1" applyAlignment="1">
      <alignment horizontal="center" vertical="center"/>
    </xf>
    <xf numFmtId="0" fontId="41" fillId="32" borderId="36" xfId="0" applyFont="1" applyFill="1" applyBorder="1" applyAlignment="1">
      <alignment horizontal="center" vertical="center" wrapText="1"/>
    </xf>
    <xf numFmtId="0" fontId="40" fillId="32" borderId="1" xfId="0" applyFont="1" applyFill="1" applyBorder="1"/>
    <xf numFmtId="169" fontId="40" fillId="32" borderId="1" xfId="0" applyNumberFormat="1" applyFont="1" applyFill="1" applyBorder="1" applyAlignment="1">
      <alignment horizontal="right" vertical="center"/>
    </xf>
    <xf numFmtId="169" fontId="40" fillId="32" borderId="1" xfId="0" applyNumberFormat="1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2" fillId="31" borderId="45" xfId="0" applyFont="1" applyFill="1" applyBorder="1" applyAlignment="1">
      <alignment horizontal="center" vertical="center"/>
    </xf>
    <xf numFmtId="0" fontId="2" fillId="31" borderId="9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9" borderId="44" xfId="0" applyFill="1" applyBorder="1" applyAlignment="1">
      <alignment horizontal="center" vertical="center"/>
    </xf>
    <xf numFmtId="0" fontId="0" fillId="29" borderId="44" xfId="0" applyFont="1" applyFill="1" applyBorder="1" applyAlignment="1">
      <alignment horizontal="center" vertical="center"/>
    </xf>
    <xf numFmtId="14" fontId="0" fillId="29" borderId="44" xfId="0" applyNumberFormat="1" applyFill="1" applyBorder="1" applyAlignment="1">
      <alignment horizontal="center" vertical="center"/>
    </xf>
    <xf numFmtId="0" fontId="0" fillId="34" borderId="44" xfId="0" applyFill="1" applyBorder="1" applyAlignment="1">
      <alignment horizontal="center" vertical="center"/>
    </xf>
    <xf numFmtId="14" fontId="0" fillId="34" borderId="44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top"/>
    </xf>
    <xf numFmtId="1" fontId="42" fillId="0" borderId="0" xfId="0" applyNumberFormat="1" applyFont="1" applyFill="1" applyBorder="1" applyAlignment="1">
      <alignment horizontal="right" vertical="top" shrinkToFit="1"/>
    </xf>
    <xf numFmtId="0" fontId="43" fillId="0" borderId="0" xfId="0" applyFont="1" applyFill="1" applyBorder="1" applyAlignment="1">
      <alignment horizontal="left" vertical="top" wrapText="1"/>
    </xf>
    <xf numFmtId="1" fontId="45" fillId="0" borderId="0" xfId="0" applyNumberFormat="1" applyFont="1" applyFill="1" applyBorder="1" applyAlignment="1">
      <alignment horizontal="right" vertical="top" shrinkToFit="1"/>
    </xf>
    <xf numFmtId="0" fontId="46" fillId="0" borderId="0" xfId="0" applyFont="1" applyFill="1" applyBorder="1" applyAlignment="1">
      <alignment horizontal="left" vertical="top" wrapText="1"/>
    </xf>
    <xf numFmtId="1" fontId="6" fillId="0" borderId="0" xfId="0" applyNumberFormat="1" applyFont="1" applyFill="1" applyBorder="1" applyAlignment="1">
      <alignment horizontal="right" vertical="top" shrinkToFit="1"/>
    </xf>
    <xf numFmtId="0" fontId="48" fillId="0" borderId="0" xfId="0" applyFont="1" applyFill="1" applyBorder="1" applyAlignment="1">
      <alignment horizontal="left" vertical="top" wrapText="1"/>
    </xf>
    <xf numFmtId="0" fontId="50" fillId="0" borderId="0" xfId="0" applyFont="1" applyFill="1" applyBorder="1" applyAlignment="1">
      <alignment horizontal="left" vertical="top" wrapText="1"/>
    </xf>
    <xf numFmtId="1" fontId="52" fillId="0" borderId="0" xfId="0" applyNumberFormat="1" applyFont="1" applyFill="1" applyBorder="1" applyAlignment="1">
      <alignment horizontal="right" vertical="top" shrinkToFit="1"/>
    </xf>
    <xf numFmtId="0" fontId="53" fillId="0" borderId="0" xfId="0" applyFont="1" applyFill="1" applyBorder="1" applyAlignment="1">
      <alignment horizontal="left" vertical="top" wrapText="1"/>
    </xf>
    <xf numFmtId="1" fontId="54" fillId="0" borderId="0" xfId="0" applyNumberFormat="1" applyFont="1" applyFill="1" applyBorder="1" applyAlignment="1">
      <alignment horizontal="right" vertical="top" shrinkToFit="1"/>
    </xf>
    <xf numFmtId="1" fontId="55" fillId="0" borderId="0" xfId="0" applyNumberFormat="1" applyFont="1" applyFill="1" applyBorder="1" applyAlignment="1">
      <alignment horizontal="right" vertical="top" shrinkToFit="1"/>
    </xf>
    <xf numFmtId="0" fontId="56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34" borderId="40" xfId="0" applyFill="1" applyBorder="1" applyAlignment="1">
      <alignment horizontal="center" vertical="center"/>
    </xf>
    <xf numFmtId="14" fontId="0" fillId="34" borderId="40" xfId="0" applyNumberForma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44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/>
    <xf numFmtId="14" fontId="0" fillId="0" borderId="0" xfId="0" applyNumberFormat="1" applyBorder="1"/>
    <xf numFmtId="9" fontId="0" fillId="0" borderId="0" xfId="1" applyFont="1" applyBorder="1" applyAlignment="1"/>
    <xf numFmtId="0" fontId="35" fillId="30" borderId="44" xfId="0" applyFont="1" applyFill="1" applyBorder="1" applyAlignment="1">
      <alignment horizontal="left" vertical="center"/>
    </xf>
    <xf numFmtId="0" fontId="0" fillId="2" borderId="44" xfId="0" applyFont="1" applyFill="1" applyBorder="1" applyAlignment="1">
      <alignment horizontal="left" vertical="center"/>
    </xf>
    <xf numFmtId="0" fontId="0" fillId="2" borderId="44" xfId="0" applyFill="1" applyBorder="1" applyAlignment="1">
      <alignment horizontal="center" vertical="center"/>
    </xf>
    <xf numFmtId="169" fontId="0" fillId="0" borderId="44" xfId="0" applyNumberFormat="1" applyFont="1" applyBorder="1"/>
    <xf numFmtId="0" fontId="0" fillId="0" borderId="44" xfId="0" applyFont="1" applyBorder="1"/>
    <xf numFmtId="0" fontId="0" fillId="29" borderId="44" xfId="0" applyFill="1" applyBorder="1" applyAlignment="1">
      <alignment horizontal="center" vertical="center"/>
    </xf>
    <xf numFmtId="169" fontId="2" fillId="31" borderId="44" xfId="0" applyNumberFormat="1" applyFont="1" applyFill="1" applyBorder="1" applyAlignment="1">
      <alignment horizontal="center" vertical="center"/>
    </xf>
    <xf numFmtId="169" fontId="2" fillId="31" borderId="1" xfId="0" applyNumberFormat="1" applyFont="1" applyFill="1" applyBorder="1" applyAlignment="1">
      <alignment horizontal="center" vertical="center"/>
    </xf>
    <xf numFmtId="0" fontId="36" fillId="29" borderId="44" xfId="0" applyFont="1" applyFill="1" applyBorder="1" applyAlignment="1">
      <alignment horizontal="center" vertical="center"/>
    </xf>
    <xf numFmtId="0" fontId="0" fillId="31" borderId="44" xfId="0" applyFill="1" applyBorder="1" applyAlignment="1">
      <alignment horizontal="center" vertical="center"/>
    </xf>
    <xf numFmtId="14" fontId="0" fillId="31" borderId="44" xfId="0" applyNumberFormat="1" applyFill="1" applyBorder="1" applyAlignment="1">
      <alignment horizontal="center" vertical="center"/>
    </xf>
    <xf numFmtId="0" fontId="0" fillId="31" borderId="40" xfId="0" applyFill="1" applyBorder="1" applyAlignment="1">
      <alignment horizontal="center" vertical="center"/>
    </xf>
    <xf numFmtId="14" fontId="0" fillId="31" borderId="40" xfId="0" applyNumberFormat="1" applyFill="1" applyBorder="1" applyAlignment="1">
      <alignment horizontal="center" vertical="center"/>
    </xf>
    <xf numFmtId="9" fontId="36" fillId="2" borderId="1" xfId="1" applyFont="1" applyFill="1" applyBorder="1" applyAlignment="1">
      <alignment horizontal="center" vertical="center"/>
    </xf>
    <xf numFmtId="0" fontId="2" fillId="45" borderId="46" xfId="0" applyNumberFormat="1" applyFont="1" applyFill="1" applyBorder="1"/>
    <xf numFmtId="0" fontId="0" fillId="32" borderId="44" xfId="0" applyFont="1" applyFill="1" applyBorder="1" applyAlignment="1">
      <alignment horizontal="left"/>
    </xf>
    <xf numFmtId="169" fontId="0" fillId="32" borderId="44" xfId="0" applyNumberFormat="1" applyFont="1" applyFill="1" applyBorder="1" applyAlignment="1">
      <alignment horizontal="right" vertical="center"/>
    </xf>
    <xf numFmtId="166" fontId="0" fillId="0" borderId="44" xfId="0" applyNumberFormat="1" applyFont="1" applyFill="1" applyBorder="1" applyAlignment="1">
      <alignment horizontal="center" vertical="center"/>
    </xf>
    <xf numFmtId="169" fontId="0" fillId="0" borderId="44" xfId="0" applyNumberFormat="1" applyFont="1" applyFill="1" applyBorder="1"/>
    <xf numFmtId="0" fontId="0" fillId="0" borderId="44" xfId="0" applyFont="1" applyFill="1" applyBorder="1"/>
    <xf numFmtId="166" fontId="0" fillId="0" borderId="7" xfId="0" applyNumberForma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46" borderId="44" xfId="0" applyFill="1" applyBorder="1" applyAlignment="1">
      <alignment horizontal="center" vertical="center"/>
    </xf>
    <xf numFmtId="14" fontId="0" fillId="46" borderId="44" xfId="0" applyNumberFormat="1" applyFill="1" applyBorder="1" applyAlignment="1">
      <alignment horizontal="center" vertical="center"/>
    </xf>
    <xf numFmtId="0" fontId="0" fillId="47" borderId="44" xfId="0" applyFill="1" applyBorder="1" applyAlignment="1">
      <alignment horizontal="center" vertical="center"/>
    </xf>
    <xf numFmtId="14" fontId="0" fillId="47" borderId="44" xfId="0" applyNumberFormat="1" applyFill="1" applyBorder="1" applyAlignment="1">
      <alignment horizontal="center" vertical="center"/>
    </xf>
    <xf numFmtId="0" fontId="2" fillId="48" borderId="46" xfId="0" applyNumberFormat="1" applyFont="1" applyFill="1" applyBorder="1"/>
    <xf numFmtId="171" fontId="0" fillId="32" borderId="1" xfId="0" applyNumberFormat="1" applyFill="1" applyBorder="1" applyAlignment="1">
      <alignment horizontal="right" vertical="center"/>
    </xf>
    <xf numFmtId="0" fontId="2" fillId="41" borderId="44" xfId="0" applyFont="1" applyFill="1" applyBorder="1" applyAlignment="1">
      <alignment horizontal="center" vertical="center"/>
    </xf>
    <xf numFmtId="0" fontId="2" fillId="41" borderId="44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/>
    </xf>
    <xf numFmtId="0" fontId="0" fillId="41" borderId="44" xfId="0" applyFill="1" applyBorder="1" applyAlignment="1">
      <alignment horizontal="center" vertical="center"/>
    </xf>
    <xf numFmtId="14" fontId="0" fillId="41" borderId="44" xfId="0" applyNumberFormat="1" applyFill="1" applyBorder="1" applyAlignment="1">
      <alignment horizontal="center" vertical="center"/>
    </xf>
    <xf numFmtId="0" fontId="0" fillId="41" borderId="44" xfId="0" applyFont="1" applyFill="1" applyBorder="1" applyAlignment="1">
      <alignment horizontal="center" vertical="center"/>
    </xf>
    <xf numFmtId="14" fontId="0" fillId="0" borderId="44" xfId="0" applyNumberFormat="1" applyFont="1" applyFill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 vertical="center"/>
    </xf>
    <xf numFmtId="14" fontId="0" fillId="29" borderId="44" xfId="0" applyNumberFormat="1" applyFont="1" applyFill="1" applyBorder="1" applyAlignment="1">
      <alignment horizontal="center" vertical="center"/>
    </xf>
    <xf numFmtId="169" fontId="39" fillId="47" borderId="1" xfId="0" applyNumberFormat="1" applyFont="1" applyFill="1" applyBorder="1" applyAlignment="1">
      <alignment horizontal="center" vertical="center"/>
    </xf>
    <xf numFmtId="0" fontId="57" fillId="2" borderId="1" xfId="0" applyFont="1" applyFill="1" applyBorder="1" applyAlignment="1">
      <alignment horizontal="center"/>
    </xf>
    <xf numFmtId="0" fontId="58" fillId="2" borderId="1" xfId="0" applyFont="1" applyFill="1" applyBorder="1" applyAlignment="1">
      <alignment horizontal="center"/>
    </xf>
    <xf numFmtId="0" fontId="57" fillId="2" borderId="1" xfId="0" applyFont="1" applyFill="1" applyBorder="1"/>
    <xf numFmtId="169" fontId="57" fillId="2" borderId="1" xfId="0" applyNumberFormat="1" applyFont="1" applyFill="1" applyBorder="1" applyAlignment="1">
      <alignment horizontal="right" vertical="center"/>
    </xf>
    <xf numFmtId="0" fontId="0" fillId="41" borderId="44" xfId="0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47" borderId="44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40" fillId="47" borderId="44" xfId="0" applyFont="1" applyFill="1" applyBorder="1" applyAlignment="1">
      <alignment horizontal="center" vertical="center"/>
    </xf>
    <xf numFmtId="0" fontId="39" fillId="47" borderId="44" xfId="0" applyFont="1" applyFill="1" applyBorder="1" applyAlignment="1">
      <alignment horizontal="center" vertical="center"/>
    </xf>
    <xf numFmtId="0" fontId="36" fillId="0" borderId="44" xfId="0" applyFont="1" applyBorder="1" applyAlignment="1">
      <alignment horizontal="center" vertical="center"/>
    </xf>
    <xf numFmtId="0" fontId="36" fillId="0" borderId="44" xfId="0" applyFont="1" applyFill="1" applyBorder="1" applyAlignment="1">
      <alignment horizontal="center" vertical="center"/>
    </xf>
    <xf numFmtId="0" fontId="3" fillId="0" borderId="0" xfId="0" applyFont="1"/>
    <xf numFmtId="0" fontId="59" fillId="0" borderId="0" xfId="0" applyFont="1"/>
    <xf numFmtId="0" fontId="3" fillId="0" borderId="44" xfId="0" applyFont="1" applyBorder="1"/>
    <xf numFmtId="0" fontId="3" fillId="3" borderId="44" xfId="0" applyFont="1" applyFill="1" applyBorder="1"/>
    <xf numFmtId="0" fontId="3" fillId="3" borderId="44" xfId="0" applyFont="1" applyFill="1" applyBorder="1" applyAlignment="1">
      <alignment horizontal="center" vertical="center"/>
    </xf>
    <xf numFmtId="0" fontId="3" fillId="41" borderId="44" xfId="0" applyFont="1" applyFill="1" applyBorder="1"/>
    <xf numFmtId="0" fontId="3" fillId="41" borderId="44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/>
    </xf>
    <xf numFmtId="166" fontId="2" fillId="0" borderId="44" xfId="0" applyNumberFormat="1" applyFont="1" applyFill="1" applyBorder="1"/>
    <xf numFmtId="0" fontId="0" fillId="0" borderId="40" xfId="0" applyFont="1" applyFill="1" applyBorder="1" applyAlignment="1">
      <alignment horizontal="center"/>
    </xf>
    <xf numFmtId="169" fontId="0" fillId="0" borderId="40" xfId="0" applyNumberFormat="1" applyFont="1" applyFill="1" applyBorder="1"/>
    <xf numFmtId="166" fontId="2" fillId="0" borderId="40" xfId="0" applyNumberFormat="1" applyFont="1" applyFill="1" applyBorder="1"/>
    <xf numFmtId="9" fontId="0" fillId="0" borderId="47" xfId="1" applyFont="1" applyFill="1" applyBorder="1" applyAlignment="1">
      <alignment horizontal="center"/>
    </xf>
    <xf numFmtId="171" fontId="0" fillId="0" borderId="48" xfId="0" applyNumberForma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166" fontId="0" fillId="0" borderId="49" xfId="0" applyNumberFormat="1" applyBorder="1" applyAlignment="1">
      <alignment horizontal="center" vertical="center"/>
    </xf>
    <xf numFmtId="9" fontId="0" fillId="0" borderId="50" xfId="1" applyFont="1" applyBorder="1" applyAlignment="1">
      <alignment horizontal="center" vertical="center"/>
    </xf>
    <xf numFmtId="9" fontId="0" fillId="0" borderId="44" xfId="1" applyFont="1" applyFill="1" applyBorder="1" applyAlignment="1">
      <alignment horizontal="center"/>
    </xf>
    <xf numFmtId="171" fontId="0" fillId="0" borderId="44" xfId="0" applyNumberFormat="1" applyBorder="1" applyAlignment="1">
      <alignment horizontal="center" vertical="center"/>
    </xf>
    <xf numFmtId="166" fontId="0" fillId="0" borderId="44" xfId="0" applyNumberFormat="1" applyBorder="1" applyAlignment="1">
      <alignment horizontal="center" vertical="center"/>
    </xf>
    <xf numFmtId="0" fontId="0" fillId="32" borderId="44" xfId="0" applyFont="1" applyFill="1" applyBorder="1"/>
    <xf numFmtId="171" fontId="0" fillId="0" borderId="44" xfId="0" applyNumberFormat="1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166" fontId="0" fillId="0" borderId="44" xfId="0" applyNumberFormat="1" applyFont="1" applyBorder="1" applyAlignment="1">
      <alignment horizontal="center" vertical="center"/>
    </xf>
    <xf numFmtId="0" fontId="2" fillId="32" borderId="44" xfId="0" applyFont="1" applyFill="1" applyBorder="1" applyAlignment="1">
      <alignment horizontal="center" vertical="center"/>
    </xf>
    <xf numFmtId="0" fontId="59" fillId="0" borderId="44" xfId="0" applyFont="1" applyBorder="1" applyAlignment="1">
      <alignment horizontal="center"/>
    </xf>
    <xf numFmtId="14" fontId="59" fillId="0" borderId="44" xfId="0" applyNumberFormat="1" applyFont="1" applyBorder="1" applyAlignment="1">
      <alignment horizontal="center"/>
    </xf>
    <xf numFmtId="177" fontId="59" fillId="0" borderId="44" xfId="0" applyNumberFormat="1" applyFont="1" applyBorder="1" applyAlignment="1">
      <alignment horizontal="center"/>
    </xf>
    <xf numFmtId="0" fontId="59" fillId="3" borderId="44" xfId="0" applyFont="1" applyFill="1" applyBorder="1" applyAlignment="1">
      <alignment horizontal="center"/>
    </xf>
    <xf numFmtId="0" fontId="59" fillId="41" borderId="44" xfId="0" applyFont="1" applyFill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3" borderId="44" xfId="0" applyFill="1" applyBorder="1" applyAlignment="1">
      <alignment horizontal="center"/>
    </xf>
    <xf numFmtId="0" fontId="0" fillId="41" borderId="44" xfId="0" applyFill="1" applyBorder="1" applyAlignment="1">
      <alignment horizontal="center"/>
    </xf>
    <xf numFmtId="0" fontId="3" fillId="41" borderId="0" xfId="0" applyFont="1" applyFill="1"/>
    <xf numFmtId="0" fontId="60" fillId="0" borderId="44" xfId="0" applyFont="1" applyBorder="1" applyAlignment="1">
      <alignment horizontal="center"/>
    </xf>
    <xf numFmtId="14" fontId="60" fillId="0" borderId="44" xfId="0" applyNumberFormat="1" applyFont="1" applyBorder="1" applyAlignment="1">
      <alignment horizontal="center"/>
    </xf>
    <xf numFmtId="0" fontId="61" fillId="3" borderId="44" xfId="0" applyFont="1" applyFill="1" applyBorder="1" applyAlignment="1">
      <alignment horizontal="center" vertical="center"/>
    </xf>
    <xf numFmtId="0" fontId="61" fillId="41" borderId="44" xfId="0" applyFont="1" applyFill="1" applyBorder="1" applyAlignment="1">
      <alignment horizontal="center" vertical="center"/>
    </xf>
    <xf numFmtId="177" fontId="60" fillId="0" borderId="44" xfId="0" applyNumberFormat="1" applyFont="1" applyBorder="1" applyAlignment="1">
      <alignment horizontal="center"/>
    </xf>
    <xf numFmtId="0" fontId="60" fillId="0" borderId="0" xfId="0" applyFont="1"/>
    <xf numFmtId="0" fontId="40" fillId="0" borderId="0" xfId="0" applyFont="1"/>
    <xf numFmtId="0" fontId="0" fillId="0" borderId="0" xfId="0" applyFill="1" applyBorder="1"/>
    <xf numFmtId="0" fontId="30" fillId="42" borderId="44" xfId="0" applyFont="1" applyFill="1" applyBorder="1" applyAlignment="1">
      <alignment horizontal="center" vertical="center"/>
    </xf>
    <xf numFmtId="178" fontId="60" fillId="0" borderId="44" xfId="0" applyNumberFormat="1" applyFont="1" applyBorder="1" applyAlignment="1">
      <alignment horizontal="center"/>
    </xf>
    <xf numFmtId="0" fontId="36" fillId="46" borderId="44" xfId="0" applyFont="1" applyFill="1" applyBorder="1" applyAlignment="1">
      <alignment horizontal="center" vertical="center"/>
    </xf>
    <xf numFmtId="0" fontId="0" fillId="29" borderId="44" xfId="0" applyFill="1" applyBorder="1" applyAlignment="1">
      <alignment horizontal="center" vertical="center"/>
    </xf>
    <xf numFmtId="0" fontId="30" fillId="42" borderId="1" xfId="0" applyFont="1" applyFill="1" applyBorder="1" applyAlignment="1">
      <alignment horizontal="center" vertical="center"/>
    </xf>
    <xf numFmtId="0" fontId="0" fillId="42" borderId="2" xfId="0" applyFill="1" applyBorder="1" applyAlignment="1">
      <alignment horizontal="center" vertical="center"/>
    </xf>
    <xf numFmtId="0" fontId="0" fillId="42" borderId="4" xfId="0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31" fillId="42" borderId="1" xfId="0" applyFont="1" applyFill="1" applyBorder="1" applyAlignment="1">
      <alignment horizontal="center" vertical="center" wrapText="1"/>
    </xf>
    <xf numFmtId="167" fontId="2" fillId="3" borderId="0" xfId="0" applyNumberFormat="1" applyFont="1" applyFill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42" borderId="1" xfId="0" applyFont="1" applyFill="1" applyBorder="1" applyAlignment="1">
      <alignment horizontal="center" vertical="center"/>
    </xf>
    <xf numFmtId="0" fontId="2" fillId="41" borderId="1" xfId="0" applyFont="1" applyFill="1" applyBorder="1" applyAlignment="1">
      <alignment horizontal="center" vertical="center"/>
    </xf>
    <xf numFmtId="0" fontId="2" fillId="41" borderId="35" xfId="0" applyFont="1" applyFill="1" applyBorder="1" applyAlignment="1">
      <alignment horizontal="center" vertical="center"/>
    </xf>
    <xf numFmtId="0" fontId="0" fillId="42" borderId="1" xfId="0" applyFill="1" applyBorder="1" applyAlignment="1">
      <alignment horizontal="center" vertical="center"/>
    </xf>
    <xf numFmtId="0" fontId="31" fillId="42" borderId="38" xfId="0" applyFont="1" applyFill="1" applyBorder="1" applyAlignment="1">
      <alignment horizontal="center" vertical="center" wrapText="1"/>
    </xf>
    <xf numFmtId="0" fontId="31" fillId="42" borderId="4" xfId="0" applyFont="1" applyFill="1" applyBorder="1" applyAlignment="1">
      <alignment horizontal="center" vertical="center" wrapText="1"/>
    </xf>
    <xf numFmtId="0" fontId="2" fillId="43" borderId="0" xfId="0" applyFont="1" applyFill="1" applyAlignment="1">
      <alignment horizontal="center" vertical="center"/>
    </xf>
    <xf numFmtId="0" fontId="2" fillId="44" borderId="44" xfId="0" applyFont="1" applyFill="1" applyBorder="1" applyAlignment="1">
      <alignment horizontal="center" vertical="center" wrapText="1"/>
    </xf>
    <xf numFmtId="167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0" fillId="42" borderId="44" xfId="0" applyFont="1" applyFill="1" applyBorder="1" applyAlignment="1">
      <alignment horizontal="center" vertical="center"/>
    </xf>
    <xf numFmtId="0" fontId="0" fillId="44" borderId="44" xfId="0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32" borderId="36" xfId="0" applyFont="1" applyFill="1" applyBorder="1" applyAlignment="1">
      <alignment horizontal="center" vertical="center" wrapText="1"/>
    </xf>
    <xf numFmtId="0" fontId="2" fillId="32" borderId="3" xfId="0" applyFont="1" applyFill="1" applyBorder="1" applyAlignment="1">
      <alignment horizontal="center" vertical="center" wrapText="1"/>
    </xf>
    <xf numFmtId="0" fontId="2" fillId="32" borderId="4" xfId="0" applyFont="1" applyFill="1" applyBorder="1" applyAlignment="1">
      <alignment horizontal="center" vertical="center" wrapText="1"/>
    </xf>
    <xf numFmtId="0" fontId="2" fillId="40" borderId="0" xfId="0" applyFont="1" applyFill="1" applyAlignment="1">
      <alignment horizontal="center" vertical="center"/>
    </xf>
    <xf numFmtId="0" fontId="0" fillId="29" borderId="44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9" fontId="0" fillId="0" borderId="40" xfId="1" applyFont="1" applyBorder="1" applyAlignment="1">
      <alignment horizontal="center" vertical="center"/>
    </xf>
    <xf numFmtId="9" fontId="0" fillId="0" borderId="3" xfId="1" applyFont="1" applyBorder="1" applyAlignment="1">
      <alignment horizontal="center" vertical="center"/>
    </xf>
    <xf numFmtId="9" fontId="0" fillId="0" borderId="4" xfId="1" applyFont="1" applyBorder="1" applyAlignment="1">
      <alignment horizontal="center" vertical="center"/>
    </xf>
    <xf numFmtId="0" fontId="0" fillId="47" borderId="44" xfId="0" applyFill="1" applyBorder="1" applyAlignment="1">
      <alignment horizontal="center" vertical="center"/>
    </xf>
    <xf numFmtId="0" fontId="0" fillId="41" borderId="40" xfId="0" applyFill="1" applyBorder="1" applyAlignment="1">
      <alignment horizontal="center" vertical="center"/>
    </xf>
    <xf numFmtId="0" fontId="0" fillId="41" borderId="3" xfId="0" applyFill="1" applyBorder="1" applyAlignment="1">
      <alignment horizontal="center" vertical="center"/>
    </xf>
    <xf numFmtId="0" fontId="0" fillId="41" borderId="4" xfId="0" applyFill="1" applyBorder="1" applyAlignment="1">
      <alignment horizontal="center" vertical="center"/>
    </xf>
    <xf numFmtId="9" fontId="0" fillId="41" borderId="40" xfId="1" applyFont="1" applyFill="1" applyBorder="1" applyAlignment="1">
      <alignment horizontal="center" vertical="center"/>
    </xf>
    <xf numFmtId="9" fontId="0" fillId="41" borderId="3" xfId="1" applyFont="1" applyFill="1" applyBorder="1" applyAlignment="1">
      <alignment horizontal="center" vertical="center"/>
    </xf>
    <xf numFmtId="9" fontId="0" fillId="41" borderId="4" xfId="1" applyFont="1" applyFill="1" applyBorder="1" applyAlignment="1">
      <alignment horizontal="center" vertical="center"/>
    </xf>
    <xf numFmtId="9" fontId="0" fillId="0" borderId="40" xfId="1" applyFont="1" applyFill="1" applyBorder="1" applyAlignment="1">
      <alignment horizontal="center" vertical="center"/>
    </xf>
    <xf numFmtId="9" fontId="0" fillId="0" borderId="3" xfId="1" applyFont="1" applyFill="1" applyBorder="1" applyAlignment="1">
      <alignment horizontal="center" vertical="center"/>
    </xf>
    <xf numFmtId="9" fontId="0" fillId="0" borderId="4" xfId="1" applyFont="1" applyFill="1" applyBorder="1" applyAlignment="1">
      <alignment horizontal="center" vertical="center"/>
    </xf>
    <xf numFmtId="9" fontId="0" fillId="34" borderId="40" xfId="1" applyFont="1" applyFill="1" applyBorder="1" applyAlignment="1">
      <alignment horizontal="center" vertical="center"/>
    </xf>
    <xf numFmtId="9" fontId="0" fillId="34" borderId="3" xfId="1" applyFont="1" applyFill="1" applyBorder="1" applyAlignment="1">
      <alignment horizontal="center" vertical="center"/>
    </xf>
    <xf numFmtId="9" fontId="0" fillId="34" borderId="4" xfId="1" applyFont="1" applyFill="1" applyBorder="1" applyAlignment="1">
      <alignment horizontal="center" vertical="center"/>
    </xf>
    <xf numFmtId="9" fontId="0" fillId="47" borderId="44" xfId="1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34" borderId="40" xfId="0" applyFill="1" applyBorder="1" applyAlignment="1">
      <alignment horizontal="center" vertical="center"/>
    </xf>
    <xf numFmtId="0" fontId="0" fillId="34" borderId="3" xfId="0" applyFill="1" applyBorder="1" applyAlignment="1">
      <alignment horizontal="center" vertical="center"/>
    </xf>
    <xf numFmtId="0" fontId="0" fillId="34" borderId="4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32" borderId="44" xfId="0" applyFont="1" applyFill="1" applyBorder="1" applyAlignment="1">
      <alignment horizontal="center" vertical="center"/>
    </xf>
    <xf numFmtId="9" fontId="0" fillId="29" borderId="44" xfId="1" applyFont="1" applyFill="1" applyBorder="1" applyAlignment="1">
      <alignment horizontal="center" vertical="center"/>
    </xf>
    <xf numFmtId="0" fontId="0" fillId="29" borderId="44" xfId="0" applyFill="1" applyBorder="1" applyAlignment="1">
      <alignment horizontal="center" vertical="center"/>
    </xf>
    <xf numFmtId="9" fontId="0" fillId="32" borderId="6" xfId="0" applyNumberFormat="1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9" fontId="0" fillId="0" borderId="6" xfId="1" applyFont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0" fillId="46" borderId="40" xfId="0" applyFill="1" applyBorder="1" applyAlignment="1">
      <alignment horizontal="center" vertical="center"/>
    </xf>
    <xf numFmtId="0" fontId="0" fillId="46" borderId="3" xfId="0" applyFill="1" applyBorder="1" applyAlignment="1">
      <alignment horizontal="center" vertical="center"/>
    </xf>
    <xf numFmtId="0" fontId="0" fillId="46" borderId="4" xfId="0" applyFill="1" applyBorder="1" applyAlignment="1">
      <alignment horizontal="center" vertical="center"/>
    </xf>
    <xf numFmtId="9" fontId="0" fillId="46" borderId="40" xfId="1" applyFont="1" applyFill="1" applyBorder="1" applyAlignment="1">
      <alignment horizontal="center" vertical="center"/>
    </xf>
    <xf numFmtId="9" fontId="0" fillId="46" borderId="3" xfId="1" applyFont="1" applyFill="1" applyBorder="1" applyAlignment="1">
      <alignment horizontal="center" vertical="center"/>
    </xf>
    <xf numFmtId="9" fontId="0" fillId="46" borderId="4" xfId="1" applyFont="1" applyFill="1" applyBorder="1" applyAlignment="1">
      <alignment horizontal="center" vertical="center"/>
    </xf>
    <xf numFmtId="0" fontId="0" fillId="31" borderId="40" xfId="0" applyFill="1" applyBorder="1" applyAlignment="1">
      <alignment horizontal="center" vertical="center"/>
    </xf>
    <xf numFmtId="0" fontId="0" fillId="31" borderId="3" xfId="0" applyFill="1" applyBorder="1" applyAlignment="1">
      <alignment horizontal="center" vertical="center"/>
    </xf>
    <xf numFmtId="0" fontId="0" fillId="31" borderId="44" xfId="0" applyFill="1" applyBorder="1" applyAlignment="1">
      <alignment horizontal="center" vertical="center"/>
    </xf>
    <xf numFmtId="9" fontId="0" fillId="31" borderId="44" xfId="1" applyFont="1" applyFill="1" applyBorder="1" applyAlignment="1">
      <alignment horizontal="center" vertical="center"/>
    </xf>
    <xf numFmtId="9" fontId="0" fillId="31" borderId="40" xfId="1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2" borderId="29" xfId="0" applyFont="1" applyFill="1" applyBorder="1" applyAlignment="1">
      <alignment horizontal="center"/>
    </xf>
    <xf numFmtId="0" fontId="2" fillId="32" borderId="30" xfId="0" applyFont="1" applyFill="1" applyBorder="1" applyAlignment="1">
      <alignment horizontal="center"/>
    </xf>
    <xf numFmtId="0" fontId="2" fillId="32" borderId="31" xfId="0" applyFont="1" applyFill="1" applyBorder="1" applyAlignment="1">
      <alignment horizontal="center"/>
    </xf>
    <xf numFmtId="0" fontId="27" fillId="5" borderId="10" xfId="0" applyFont="1" applyFill="1" applyBorder="1" applyAlignment="1">
      <alignment horizontal="center" vertical="center" textRotation="90"/>
    </xf>
    <xf numFmtId="0" fontId="27" fillId="5" borderId="18" xfId="0" applyFont="1" applyFill="1" applyBorder="1" applyAlignment="1">
      <alignment horizontal="center" vertical="center" textRotation="90"/>
    </xf>
    <xf numFmtId="0" fontId="27" fillId="5" borderId="33" xfId="0" applyFont="1" applyFill="1" applyBorder="1" applyAlignment="1">
      <alignment horizontal="center" vertical="center" textRotation="90"/>
    </xf>
    <xf numFmtId="0" fontId="3" fillId="35" borderId="10" xfId="0" applyFont="1" applyFill="1" applyBorder="1" applyAlignment="1">
      <alignment horizontal="center" vertical="center" textRotation="90" wrapText="1"/>
    </xf>
    <xf numFmtId="0" fontId="3" fillId="35" borderId="27" xfId="0" applyFont="1" applyFill="1" applyBorder="1" applyAlignment="1">
      <alignment horizontal="center" vertical="center" textRotation="90" wrapText="1"/>
    </xf>
    <xf numFmtId="0" fontId="3" fillId="35" borderId="18" xfId="0" applyFont="1" applyFill="1" applyBorder="1" applyAlignment="1">
      <alignment horizontal="center" vertical="center" textRotation="90" wrapText="1"/>
    </xf>
    <xf numFmtId="0" fontId="3" fillId="35" borderId="43" xfId="0" applyFont="1" applyFill="1" applyBorder="1" applyAlignment="1">
      <alignment horizontal="center" vertical="center" textRotation="90" wrapText="1"/>
    </xf>
    <xf numFmtId="0" fontId="27" fillId="5" borderId="10" xfId="0" applyFont="1" applyFill="1" applyBorder="1" applyAlignment="1">
      <alignment horizontal="center" vertical="center" textRotation="90" wrapText="1"/>
    </xf>
    <xf numFmtId="0" fontId="27" fillId="5" borderId="18" xfId="0" applyFont="1" applyFill="1" applyBorder="1" applyAlignment="1">
      <alignment horizontal="center" vertical="center" textRotation="90" wrapText="1"/>
    </xf>
    <xf numFmtId="0" fontId="3" fillId="35" borderId="33" xfId="0" applyFont="1" applyFill="1" applyBorder="1" applyAlignment="1">
      <alignment horizontal="center" vertical="center" textRotation="90" wrapText="1"/>
    </xf>
    <xf numFmtId="0" fontId="2" fillId="37" borderId="1" xfId="0" applyFont="1" applyFill="1" applyBorder="1" applyAlignment="1">
      <alignment horizontal="center" vertical="center"/>
    </xf>
    <xf numFmtId="14" fontId="2" fillId="37" borderId="1" xfId="0" applyNumberFormat="1" applyFont="1" applyFill="1" applyBorder="1" applyAlignment="1">
      <alignment horizontal="center" vertical="center"/>
    </xf>
    <xf numFmtId="0" fontId="2" fillId="29" borderId="1" xfId="0" applyFont="1" applyFill="1" applyBorder="1" applyAlignment="1">
      <alignment horizontal="center" vertical="center"/>
    </xf>
    <xf numFmtId="167" fontId="0" fillId="3" borderId="1" xfId="0" applyNumberFormat="1" applyFill="1" applyBorder="1" applyAlignment="1">
      <alignment horizontal="center" vertical="center"/>
    </xf>
  </cellXfs>
  <cellStyles count="339">
    <cellStyle name="20% - Énfasis1 2" xfId="18"/>
    <cellStyle name="20% - Énfasis1 2 2" xfId="19"/>
    <cellStyle name="20% - Énfasis1 2 3" xfId="20"/>
    <cellStyle name="20% - Énfasis1 3" xfId="21"/>
    <cellStyle name="20% - Énfasis1 4" xfId="17"/>
    <cellStyle name="20% - Énfasis2 2" xfId="23"/>
    <cellStyle name="20% - Énfasis2 2 2" xfId="24"/>
    <cellStyle name="20% - Énfasis2 2 3" xfId="25"/>
    <cellStyle name="20% - Énfasis2 3" xfId="26"/>
    <cellStyle name="20% - Énfasis2 4" xfId="22"/>
    <cellStyle name="20% - Énfasis3 2" xfId="28"/>
    <cellStyle name="20% - Énfasis3 2 2" xfId="29"/>
    <cellStyle name="20% - Énfasis3 2 3" xfId="30"/>
    <cellStyle name="20% - Énfasis3 3" xfId="31"/>
    <cellStyle name="20% - Énfasis3 4" xfId="27"/>
    <cellStyle name="20% - Énfasis4 2" xfId="33"/>
    <cellStyle name="20% - Énfasis4 2 2" xfId="34"/>
    <cellStyle name="20% - Énfasis4 2 3" xfId="35"/>
    <cellStyle name="20% - Énfasis4 3" xfId="36"/>
    <cellStyle name="20% - Énfasis4 4" xfId="32"/>
    <cellStyle name="20% - Énfasis5 2" xfId="38"/>
    <cellStyle name="20% - Énfasis5 2 2" xfId="39"/>
    <cellStyle name="20% - Énfasis5 2 3" xfId="40"/>
    <cellStyle name="20% - Énfasis5 3" xfId="41"/>
    <cellStyle name="20% - Énfasis5 4" xfId="37"/>
    <cellStyle name="20% - Énfasis6 2" xfId="43"/>
    <cellStyle name="20% - Énfasis6 2 2" xfId="44"/>
    <cellStyle name="20% - Énfasis6 2 3" xfId="45"/>
    <cellStyle name="20% - Énfasis6 3" xfId="46"/>
    <cellStyle name="20% - Énfasis6 4" xfId="42"/>
    <cellStyle name="40% - Énfasis1 2" xfId="48"/>
    <cellStyle name="40% - Énfasis1 2 2" xfId="49"/>
    <cellStyle name="40% - Énfasis1 2 3" xfId="50"/>
    <cellStyle name="40% - Énfasis1 3" xfId="51"/>
    <cellStyle name="40% - Énfasis1 4" xfId="47"/>
    <cellStyle name="40% - Énfasis2 2" xfId="53"/>
    <cellStyle name="40% - Énfasis2 2 2" xfId="54"/>
    <cellStyle name="40% - Énfasis2 2 3" xfId="55"/>
    <cellStyle name="40% - Énfasis2 3" xfId="56"/>
    <cellStyle name="40% - Énfasis2 4" xfId="52"/>
    <cellStyle name="40% - Énfasis3 2" xfId="58"/>
    <cellStyle name="40% - Énfasis3 2 2" xfId="59"/>
    <cellStyle name="40% - Énfasis3 2 3" xfId="60"/>
    <cellStyle name="40% - Énfasis3 3" xfId="61"/>
    <cellStyle name="40% - Énfasis3 4" xfId="57"/>
    <cellStyle name="40% - Énfasis4 2" xfId="63"/>
    <cellStyle name="40% - Énfasis4 2 2" xfId="64"/>
    <cellStyle name="40% - Énfasis4 2 3" xfId="65"/>
    <cellStyle name="40% - Énfasis4 3" xfId="66"/>
    <cellStyle name="40% - Énfasis4 4" xfId="62"/>
    <cellStyle name="40% - Énfasis5 2" xfId="68"/>
    <cellStyle name="40% - Énfasis5 2 2" xfId="69"/>
    <cellStyle name="40% - Énfasis5 2 3" xfId="70"/>
    <cellStyle name="40% - Énfasis5 3" xfId="71"/>
    <cellStyle name="40% - Énfasis5 4" xfId="67"/>
    <cellStyle name="40% - Énfasis6 2" xfId="73"/>
    <cellStyle name="40% - Énfasis6 2 2" xfId="74"/>
    <cellStyle name="40% - Énfasis6 2 3" xfId="75"/>
    <cellStyle name="40% - Énfasis6 3" xfId="76"/>
    <cellStyle name="40% - Énfasis6 4" xfId="72"/>
    <cellStyle name="60% - Énfasis1 2" xfId="78"/>
    <cellStyle name="60% - Énfasis1 2 2" xfId="79"/>
    <cellStyle name="60% - Énfasis1 2 3" xfId="80"/>
    <cellStyle name="60% - Énfasis1 3" xfId="81"/>
    <cellStyle name="60% - Énfasis1 4" xfId="77"/>
    <cellStyle name="60% - Énfasis2 2" xfId="83"/>
    <cellStyle name="60% - Énfasis2 2 2" xfId="84"/>
    <cellStyle name="60% - Énfasis2 2 3" xfId="85"/>
    <cellStyle name="60% - Énfasis2 3" xfId="86"/>
    <cellStyle name="60% - Énfasis2 4" xfId="82"/>
    <cellStyle name="60% - Énfasis3 2" xfId="88"/>
    <cellStyle name="60% - Énfasis3 2 2" xfId="89"/>
    <cellStyle name="60% - Énfasis3 2 3" xfId="90"/>
    <cellStyle name="60% - Énfasis3 3" xfId="91"/>
    <cellStyle name="60% - Énfasis3 4" xfId="87"/>
    <cellStyle name="60% - Énfasis4 2" xfId="93"/>
    <cellStyle name="60% - Énfasis4 2 2" xfId="94"/>
    <cellStyle name="60% - Énfasis4 2 3" xfId="95"/>
    <cellStyle name="60% - Énfasis4 3" xfId="96"/>
    <cellStyle name="60% - Énfasis4 4" xfId="92"/>
    <cellStyle name="60% - Énfasis5 2" xfId="98"/>
    <cellStyle name="60% - Énfasis5 2 2" xfId="99"/>
    <cellStyle name="60% - Énfasis5 2 3" xfId="100"/>
    <cellStyle name="60% - Énfasis5 3" xfId="101"/>
    <cellStyle name="60% - Énfasis5 4" xfId="97"/>
    <cellStyle name="60% - Énfasis6 2" xfId="103"/>
    <cellStyle name="60% - Énfasis6 2 2" xfId="104"/>
    <cellStyle name="60% - Énfasis6 2 3" xfId="105"/>
    <cellStyle name="60% - Énfasis6 3" xfId="106"/>
    <cellStyle name="60% - Énfasis6 4" xfId="102"/>
    <cellStyle name="Buena 2" xfId="108"/>
    <cellStyle name="Buena 2 2" xfId="109"/>
    <cellStyle name="Buena 2 3" xfId="110"/>
    <cellStyle name="Buena 3" xfId="111"/>
    <cellStyle name="Buena 4" xfId="107"/>
    <cellStyle name="Cálculo 2" xfId="113"/>
    <cellStyle name="Cálculo 2 2" xfId="114"/>
    <cellStyle name="Cálculo 2 2 2" xfId="284"/>
    <cellStyle name="Cálculo 2 2 3" xfId="287"/>
    <cellStyle name="Cálculo 2 3" xfId="115"/>
    <cellStyle name="Cálculo 2 3 2" xfId="285"/>
    <cellStyle name="Cálculo 2 3 3" xfId="289"/>
    <cellStyle name="Cálculo 2 4" xfId="283"/>
    <cellStyle name="Cálculo 2 5" xfId="290"/>
    <cellStyle name="Cálculo 3" xfId="116"/>
    <cellStyle name="Cálculo 3 2" xfId="286"/>
    <cellStyle name="Cálculo 3 3" xfId="288"/>
    <cellStyle name="Cálculo 4" xfId="112"/>
    <cellStyle name="Cálculo 4 2" xfId="282"/>
    <cellStyle name="Cálculo 4 3" xfId="291"/>
    <cellStyle name="Celda de comprobación 2" xfId="118"/>
    <cellStyle name="Celda de comprobación 2 2" xfId="119"/>
    <cellStyle name="Celda de comprobación 2 3" xfId="120"/>
    <cellStyle name="Celda de comprobación 3" xfId="121"/>
    <cellStyle name="Celda de comprobación 4" xfId="117"/>
    <cellStyle name="Celda vinculada 2" xfId="123"/>
    <cellStyle name="Celda vinculada 2 2" xfId="124"/>
    <cellStyle name="Celda vinculada 2 3" xfId="125"/>
    <cellStyle name="Celda vinculada 3" xfId="126"/>
    <cellStyle name="Celda vinculada 4" xfId="122"/>
    <cellStyle name="Encabezado 4 2" xfId="128"/>
    <cellStyle name="Encabezado 4 2 2" xfId="129"/>
    <cellStyle name="Encabezado 4 2 3" xfId="130"/>
    <cellStyle name="Encabezado 4 3" xfId="131"/>
    <cellStyle name="Encabezado 4 4" xfId="127"/>
    <cellStyle name="Énfasis1 2" xfId="133"/>
    <cellStyle name="Énfasis1 2 2" xfId="134"/>
    <cellStyle name="Énfasis1 2 3" xfId="135"/>
    <cellStyle name="Énfasis1 3" xfId="136"/>
    <cellStyle name="Énfasis1 4" xfId="132"/>
    <cellStyle name="Énfasis2 2" xfId="138"/>
    <cellStyle name="Énfasis2 2 2" xfId="139"/>
    <cellStyle name="Énfasis2 2 3" xfId="140"/>
    <cellStyle name="Énfasis2 3" xfId="141"/>
    <cellStyle name="Énfasis2 4" xfId="137"/>
    <cellStyle name="Énfasis3 2" xfId="143"/>
    <cellStyle name="Énfasis3 2 2" xfId="144"/>
    <cellStyle name="Énfasis3 2 3" xfId="145"/>
    <cellStyle name="Énfasis3 3" xfId="146"/>
    <cellStyle name="Énfasis3 4" xfId="142"/>
    <cellStyle name="Énfasis4 2" xfId="148"/>
    <cellStyle name="Énfasis4 2 2" xfId="149"/>
    <cellStyle name="Énfasis4 2 3" xfId="150"/>
    <cellStyle name="Énfasis4 3" xfId="151"/>
    <cellStyle name="Énfasis4 4" xfId="147"/>
    <cellStyle name="Énfasis5 2" xfId="153"/>
    <cellStyle name="Énfasis5 2 2" xfId="154"/>
    <cellStyle name="Énfasis5 2 3" xfId="155"/>
    <cellStyle name="Énfasis5 3" xfId="156"/>
    <cellStyle name="Énfasis5 4" xfId="152"/>
    <cellStyle name="Énfasis6 2" xfId="158"/>
    <cellStyle name="Énfasis6 2 2" xfId="159"/>
    <cellStyle name="Énfasis6 2 3" xfId="160"/>
    <cellStyle name="Énfasis6 3" xfId="161"/>
    <cellStyle name="Énfasis6 4" xfId="157"/>
    <cellStyle name="Entrada 2" xfId="163"/>
    <cellStyle name="Entrada 2 2" xfId="164"/>
    <cellStyle name="Entrada 2 2 2" xfId="294"/>
    <cellStyle name="Entrada 2 2 3" xfId="277"/>
    <cellStyle name="Entrada 2 3" xfId="165"/>
    <cellStyle name="Entrada 2 3 2" xfId="295"/>
    <cellStyle name="Entrada 2 3 3" xfId="279"/>
    <cellStyle name="Entrada 2 4" xfId="293"/>
    <cellStyle name="Entrada 2 5" xfId="280"/>
    <cellStyle name="Entrada 3" xfId="166"/>
    <cellStyle name="Entrada 3 2" xfId="296"/>
    <cellStyle name="Entrada 3 3" xfId="278"/>
    <cellStyle name="Entrada 4" xfId="162"/>
    <cellStyle name="Entrada 4 2" xfId="292"/>
    <cellStyle name="Entrada 4 3" xfId="281"/>
    <cellStyle name="Excel Built-in Normal" xfId="167"/>
    <cellStyle name="Incorrecto 2" xfId="169"/>
    <cellStyle name="Incorrecto 2 2" xfId="170"/>
    <cellStyle name="Incorrecto 2 3" xfId="171"/>
    <cellStyle name="Incorrecto 3" xfId="172"/>
    <cellStyle name="Incorrecto 4" xfId="168"/>
    <cellStyle name="Millares 2" xfId="174"/>
    <cellStyle name="Millares 2 2" xfId="175"/>
    <cellStyle name="Millares 2 3" xfId="176"/>
    <cellStyle name="Millares 3" xfId="173"/>
    <cellStyle name="Moneda 2" xfId="177"/>
    <cellStyle name="Neutral 2" xfId="179"/>
    <cellStyle name="Neutral 2 2" xfId="180"/>
    <cellStyle name="Neutral 2 3" xfId="181"/>
    <cellStyle name="Neutral 3" xfId="182"/>
    <cellStyle name="Neutral 4" xfId="178"/>
    <cellStyle name="Normal" xfId="0" builtinId="0"/>
    <cellStyle name="Normal 11" xfId="183"/>
    <cellStyle name="Normal 11 2" xfId="184"/>
    <cellStyle name="Normal 11 3" xfId="185"/>
    <cellStyle name="Normal 12" xfId="186"/>
    <cellStyle name="Normal 12 2" xfId="187"/>
    <cellStyle name="Normal 12 3" xfId="188"/>
    <cellStyle name="Normal 13" xfId="318"/>
    <cellStyle name="Normal 14" xfId="319"/>
    <cellStyle name="Normal 15" xfId="320"/>
    <cellStyle name="Normal 16" xfId="189"/>
    <cellStyle name="Normal 18" xfId="190"/>
    <cellStyle name="Normal 18 2" xfId="191"/>
    <cellStyle name="Normal 19" xfId="192"/>
    <cellStyle name="Normal 2" xfId="7"/>
    <cellStyle name="Normal 2 2" xfId="12"/>
    <cellStyle name="Normal 2 2 2" xfId="194"/>
    <cellStyle name="Normal 2 3" xfId="195"/>
    <cellStyle name="Normal 2 3 2" xfId="196"/>
    <cellStyle name="Normal 2 4" xfId="197"/>
    <cellStyle name="Normal 2 5" xfId="193"/>
    <cellStyle name="Normal 2 6" xfId="11"/>
    <cellStyle name="Normal 20" xfId="198"/>
    <cellStyle name="Normal 20 2" xfId="199"/>
    <cellStyle name="Normal 21" xfId="200"/>
    <cellStyle name="Normal 22" xfId="321"/>
    <cellStyle name="Normal 23" xfId="322"/>
    <cellStyle name="Normal 24" xfId="201"/>
    <cellStyle name="Normal 25" xfId="323"/>
    <cellStyle name="Normal 26" xfId="324"/>
    <cellStyle name="Normal 27" xfId="325"/>
    <cellStyle name="Normal 28" xfId="326"/>
    <cellStyle name="Normal 29" xfId="327"/>
    <cellStyle name="Normal 3" xfId="3"/>
    <cellStyle name="Normal 3 2" xfId="202"/>
    <cellStyle name="Normal 3 3" xfId="266"/>
    <cellStyle name="Normal 3 4" xfId="13"/>
    <cellStyle name="Normal 30" xfId="328"/>
    <cellStyle name="Normal 31" xfId="329"/>
    <cellStyle name="Normal 32" xfId="330"/>
    <cellStyle name="Normal 33" xfId="331"/>
    <cellStyle name="Normal 34" xfId="332"/>
    <cellStyle name="Normal 35" xfId="333"/>
    <cellStyle name="Normal 36" xfId="334"/>
    <cellStyle name="Normal 37" xfId="335"/>
    <cellStyle name="Normal 38" xfId="336"/>
    <cellStyle name="Normal 4" xfId="4"/>
    <cellStyle name="Normal 4 2" xfId="204"/>
    <cellStyle name="Normal 4 3" xfId="203"/>
    <cellStyle name="Normal 40" xfId="337"/>
    <cellStyle name="Normal 5" xfId="9"/>
    <cellStyle name="Normal 5 2" xfId="206"/>
    <cellStyle name="Normal 5 3" xfId="205"/>
    <cellStyle name="Normal 6" xfId="207"/>
    <cellStyle name="Normal 6 2" xfId="208"/>
    <cellStyle name="Normal 7" xfId="5"/>
    <cellStyle name="Normal 7 2" xfId="210"/>
    <cellStyle name="Normal 7 3" xfId="209"/>
    <cellStyle name="Normal 8" xfId="16"/>
    <cellStyle name="Notas 2" xfId="212"/>
    <cellStyle name="Notas 2 2" xfId="213"/>
    <cellStyle name="Notas 2 2 2" xfId="299"/>
    <cellStyle name="Notas 2 2 3" xfId="274"/>
    <cellStyle name="Notas 2 3" xfId="214"/>
    <cellStyle name="Notas 2 3 2" xfId="300"/>
    <cellStyle name="Notas 2 3 3" xfId="272"/>
    <cellStyle name="Notas 2 4" xfId="298"/>
    <cellStyle name="Notas 2 5" xfId="275"/>
    <cellStyle name="Notas 3" xfId="215"/>
    <cellStyle name="Notas 3 2" xfId="301"/>
    <cellStyle name="Notas 3 3" xfId="273"/>
    <cellStyle name="Notas 4" xfId="211"/>
    <cellStyle name="Notas 4 2" xfId="297"/>
    <cellStyle name="Notas 4 3" xfId="276"/>
    <cellStyle name="Porcentaje" xfId="1" builtinId="5"/>
    <cellStyle name="Porcentaje 2" xfId="14"/>
    <cellStyle name="Porcentaje 3" xfId="15"/>
    <cellStyle name="Porcentual 10" xfId="2"/>
    <cellStyle name="Porcentual 14" xfId="6"/>
    <cellStyle name="Porcentual 2" xfId="8"/>
    <cellStyle name="Porcentual 2 2" xfId="217"/>
    <cellStyle name="Porcentual 2 3" xfId="218"/>
    <cellStyle name="Porcentual 2 4" xfId="338"/>
    <cellStyle name="Porcentual 3" xfId="10"/>
    <cellStyle name="Porcentual 3 2" xfId="219"/>
    <cellStyle name="Porcentual 4" xfId="220"/>
    <cellStyle name="Porcentual 5" xfId="221"/>
    <cellStyle name="Porcentual 6" xfId="222"/>
    <cellStyle name="Porcentual 7" xfId="223"/>
    <cellStyle name="Porcentual 7 2" xfId="224"/>
    <cellStyle name="Porcentual 7 3" xfId="225"/>
    <cellStyle name="Porcentual 8" xfId="216"/>
    <cellStyle name="Porcentual 9" xfId="317"/>
    <cellStyle name="Salida 2" xfId="227"/>
    <cellStyle name="Salida 2 2" xfId="228"/>
    <cellStyle name="Salida 2 2 2" xfId="304"/>
    <cellStyle name="Salida 2 2 3" xfId="267"/>
    <cellStyle name="Salida 2 3" xfId="229"/>
    <cellStyle name="Salida 2 3 2" xfId="305"/>
    <cellStyle name="Salida 2 3 3" xfId="269"/>
    <cellStyle name="Salida 2 4" xfId="303"/>
    <cellStyle name="Salida 2 5" xfId="270"/>
    <cellStyle name="Salida 3" xfId="230"/>
    <cellStyle name="Salida 3 2" xfId="306"/>
    <cellStyle name="Salida 3 3" xfId="268"/>
    <cellStyle name="Salida 4" xfId="226"/>
    <cellStyle name="Salida 4 2" xfId="302"/>
    <cellStyle name="Salida 4 3" xfId="271"/>
    <cellStyle name="Texto de advertencia 2" xfId="232"/>
    <cellStyle name="Texto de advertencia 2 2" xfId="233"/>
    <cellStyle name="Texto de advertencia 2 3" xfId="234"/>
    <cellStyle name="Texto de advertencia 3" xfId="235"/>
    <cellStyle name="Texto de advertencia 4" xfId="231"/>
    <cellStyle name="Texto explicativo 2" xfId="237"/>
    <cellStyle name="Texto explicativo 2 2" xfId="238"/>
    <cellStyle name="Texto explicativo 2 3" xfId="239"/>
    <cellStyle name="Texto explicativo 3" xfId="240"/>
    <cellStyle name="Texto explicativo 4" xfId="236"/>
    <cellStyle name="Título 1 2" xfId="243"/>
    <cellStyle name="Título 1 2 2" xfId="244"/>
    <cellStyle name="Título 1 2 3" xfId="245"/>
    <cellStyle name="Título 1 3" xfId="246"/>
    <cellStyle name="Título 1 4" xfId="242"/>
    <cellStyle name="Título 2 2" xfId="248"/>
    <cellStyle name="Título 2 2 2" xfId="249"/>
    <cellStyle name="Título 2 2 3" xfId="250"/>
    <cellStyle name="Título 2 3" xfId="251"/>
    <cellStyle name="Título 2 4" xfId="247"/>
    <cellStyle name="Título 3 2" xfId="253"/>
    <cellStyle name="Título 3 2 2" xfId="254"/>
    <cellStyle name="Título 3 2 3" xfId="255"/>
    <cellStyle name="Título 3 3" xfId="256"/>
    <cellStyle name="Título 3 4" xfId="252"/>
    <cellStyle name="Título 4" xfId="257"/>
    <cellStyle name="Título 4 2" xfId="258"/>
    <cellStyle name="Título 4 3" xfId="259"/>
    <cellStyle name="Título 5" xfId="260"/>
    <cellStyle name="Título 6" xfId="241"/>
    <cellStyle name="Total 2" xfId="262"/>
    <cellStyle name="Total 2 2" xfId="263"/>
    <cellStyle name="Total 2 2 2" xfId="309"/>
    <cellStyle name="Total 2 2 3" xfId="314"/>
    <cellStyle name="Total 2 3" xfId="264"/>
    <cellStyle name="Total 2 3 2" xfId="310"/>
    <cellStyle name="Total 2 3 3" xfId="315"/>
    <cellStyle name="Total 2 4" xfId="308"/>
    <cellStyle name="Total 2 5" xfId="313"/>
    <cellStyle name="Total 3" xfId="265"/>
    <cellStyle name="Total 3 2" xfId="311"/>
    <cellStyle name="Total 3 3" xfId="316"/>
    <cellStyle name="Total 4" xfId="261"/>
    <cellStyle name="Total 4 2" xfId="307"/>
    <cellStyle name="Total 4 3" xfId="312"/>
  </cellStyles>
  <dxfs count="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9CC"/>
      <color rgb="FF00CC99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2:J36"/>
  <sheetViews>
    <sheetView zoomScale="115" zoomScaleNormal="115" workbookViewId="0">
      <selection activeCell="C5" sqref="C5:J5"/>
    </sheetView>
  </sheetViews>
  <sheetFormatPr baseColWidth="10" defaultRowHeight="15"/>
  <cols>
    <col min="2" max="2" width="18.85546875" bestFit="1" customWidth="1"/>
    <col min="3" max="3" width="29.5703125" customWidth="1"/>
    <col min="4" max="4" width="23" customWidth="1"/>
    <col min="5" max="5" width="14.5703125" bestFit="1" customWidth="1"/>
    <col min="6" max="6" width="12.85546875" bestFit="1" customWidth="1"/>
    <col min="7" max="7" width="13.28515625" customWidth="1"/>
    <col min="9" max="9" width="11.85546875" bestFit="1" customWidth="1"/>
  </cols>
  <sheetData>
    <row r="2" spans="2:10">
      <c r="B2" s="389" t="s">
        <v>146</v>
      </c>
      <c r="C2" s="389"/>
      <c r="D2" s="389"/>
      <c r="E2" s="389"/>
      <c r="F2" s="389"/>
      <c r="G2" s="389"/>
      <c r="H2" s="389"/>
      <c r="I2" s="389"/>
      <c r="J2" s="389"/>
    </row>
    <row r="3" spans="2:10">
      <c r="B3" s="389"/>
      <c r="C3" s="389"/>
      <c r="D3" s="389"/>
      <c r="E3" s="389"/>
      <c r="F3" s="389"/>
      <c r="G3" s="389"/>
      <c r="H3" s="389"/>
      <c r="I3" s="389"/>
      <c r="J3" s="389"/>
    </row>
    <row r="4" spans="2:10">
      <c r="B4" s="191"/>
      <c r="C4" s="391">
        <v>45484</v>
      </c>
      <c r="D4" s="391"/>
      <c r="E4" s="391"/>
      <c r="F4" s="391"/>
      <c r="G4" s="391"/>
      <c r="H4" s="391"/>
      <c r="I4" s="391"/>
      <c r="J4" s="391"/>
    </row>
    <row r="5" spans="2:10">
      <c r="B5" s="191"/>
      <c r="C5" s="392" t="s">
        <v>0</v>
      </c>
      <c r="D5" s="392"/>
      <c r="E5" s="392"/>
      <c r="F5" s="392"/>
      <c r="G5" s="392"/>
      <c r="H5" s="392"/>
      <c r="I5" s="392"/>
      <c r="J5" s="392"/>
    </row>
    <row r="7" spans="2:10">
      <c r="B7" s="182"/>
      <c r="C7" s="182"/>
      <c r="D7" s="182"/>
      <c r="E7" s="182"/>
      <c r="F7" s="182"/>
      <c r="G7" s="182"/>
      <c r="H7" s="182"/>
      <c r="I7" s="182"/>
      <c r="J7" s="182"/>
    </row>
    <row r="8" spans="2:10">
      <c r="B8" s="183" t="s">
        <v>1</v>
      </c>
      <c r="C8" s="183" t="s">
        <v>101</v>
      </c>
      <c r="D8" s="183" t="s">
        <v>2</v>
      </c>
      <c r="E8" s="183" t="s">
        <v>3</v>
      </c>
      <c r="F8" s="183" t="s">
        <v>4</v>
      </c>
      <c r="G8" s="183" t="s">
        <v>5</v>
      </c>
      <c r="H8" s="183" t="s">
        <v>6</v>
      </c>
      <c r="I8" s="183" t="s">
        <v>7</v>
      </c>
      <c r="J8" s="183" t="s">
        <v>8</v>
      </c>
    </row>
    <row r="9" spans="2:10" ht="15" customHeight="1">
      <c r="B9" s="394" t="s">
        <v>103</v>
      </c>
      <c r="C9" s="394" t="s">
        <v>99</v>
      </c>
      <c r="D9" s="187" t="s">
        <v>9</v>
      </c>
      <c r="E9" s="66">
        <f>'Artesanal Anchoveta XV-IV'!N7</f>
        <v>73151</v>
      </c>
      <c r="F9" s="76">
        <f>'Artesanal Anchoveta XV-IV'!O7</f>
        <v>0</v>
      </c>
      <c r="G9" s="59">
        <f>'Artesanal Anchoveta XV-IV'!P7</f>
        <v>73151</v>
      </c>
      <c r="H9" s="59">
        <f>'Artesanal Anchoveta XV-IV'!Q7</f>
        <v>66932</v>
      </c>
      <c r="I9" s="59">
        <f>'Artesanal Anchoveta XV-IV'!R7</f>
        <v>6219</v>
      </c>
      <c r="J9" s="65">
        <f>'Artesanal Anchoveta XV-IV'!S7</f>
        <v>0.91498407403863247</v>
      </c>
    </row>
    <row r="10" spans="2:10" s="57" customFormat="1" ht="15" customHeight="1">
      <c r="B10" s="395"/>
      <c r="C10" s="395"/>
      <c r="D10" s="188" t="s">
        <v>137</v>
      </c>
      <c r="E10" s="140" t="s">
        <v>64</v>
      </c>
      <c r="F10" s="141" t="s">
        <v>64</v>
      </c>
      <c r="G10" s="142" t="e">
        <f>'Cesiones ind y colec'!T8</f>
        <v>#VALUE!</v>
      </c>
      <c r="H10" s="142">
        <f>'Cesiones ind y colec'!U8</f>
        <v>0</v>
      </c>
      <c r="I10" s="142" t="e">
        <f>'Cesiones ind y colec'!#REF!</f>
        <v>#REF!</v>
      </c>
      <c r="J10" s="139" t="e">
        <f>'Cesiones ind y colec'!#REF!</f>
        <v>#REF!</v>
      </c>
    </row>
    <row r="11" spans="2:10">
      <c r="B11" s="394"/>
      <c r="C11" s="394"/>
      <c r="D11" s="187" t="s">
        <v>10</v>
      </c>
      <c r="E11" s="66">
        <f>+'Artesanal Anchoveta XV-IV'!N8</f>
        <v>27707</v>
      </c>
      <c r="F11" s="76">
        <f>+'Artesanal Anchoveta XV-IV'!O8</f>
        <v>0</v>
      </c>
      <c r="G11" s="59">
        <f>+'Artesanal Anchoveta XV-IV'!P8</f>
        <v>27707</v>
      </c>
      <c r="H11" s="59">
        <f>+'Artesanal Anchoveta XV-IV'!Q8</f>
        <v>0.1</v>
      </c>
      <c r="I11" s="59">
        <f t="shared" ref="I11:I24" si="0">+G11-H11</f>
        <v>27706.9</v>
      </c>
      <c r="J11" s="65">
        <f t="shared" ref="J11:J24" si="1">+H11/G11</f>
        <v>3.6091962319991339E-6</v>
      </c>
    </row>
    <row r="12" spans="2:10" s="57" customFormat="1">
      <c r="B12" s="395"/>
      <c r="C12" s="395"/>
      <c r="D12" s="188" t="s">
        <v>138</v>
      </c>
      <c r="E12" s="140" t="s">
        <v>64</v>
      </c>
      <c r="F12" s="141" t="s">
        <v>64</v>
      </c>
      <c r="G12" s="142">
        <f>'Cesiones ind y colec'!L21</f>
        <v>890</v>
      </c>
      <c r="H12" s="142">
        <f>SUM('Cesiones ind y colec'!M21:M25)</f>
        <v>329.36500000000001</v>
      </c>
      <c r="I12" s="142"/>
      <c r="J12" s="139" t="e">
        <f>'Cesiones ind y colec'!#REF!</f>
        <v>#REF!</v>
      </c>
    </row>
    <row r="13" spans="2:10" s="1" customFormat="1">
      <c r="B13" s="394"/>
      <c r="C13" s="394"/>
      <c r="D13" s="187" t="s">
        <v>11</v>
      </c>
      <c r="E13" s="66">
        <f>+'Artesanal Anchoveta XV-IV'!N10</f>
        <v>21036</v>
      </c>
      <c r="F13" s="76">
        <f>+'Artesanal Anchoveta XV-IV'!O10</f>
        <v>0</v>
      </c>
      <c r="G13" s="59">
        <f>+'Artesanal Anchoveta XV-IV'!P10</f>
        <v>21036</v>
      </c>
      <c r="H13" s="59">
        <f>+'Artesanal Anchoveta XV-IV'!Q10</f>
        <v>0</v>
      </c>
      <c r="I13" s="59">
        <f t="shared" si="0"/>
        <v>21036</v>
      </c>
      <c r="J13" s="65">
        <f t="shared" si="1"/>
        <v>0</v>
      </c>
    </row>
    <row r="14" spans="2:10" s="57" customFormat="1">
      <c r="B14" s="395"/>
      <c r="C14" s="395"/>
      <c r="D14" s="188" t="s">
        <v>139</v>
      </c>
      <c r="E14" s="140" t="s">
        <v>64</v>
      </c>
      <c r="F14" s="141" t="s">
        <v>64</v>
      </c>
      <c r="G14" s="142" t="e">
        <f>'Cesiones ind y colec'!#REF!</f>
        <v>#REF!</v>
      </c>
      <c r="H14" s="142" t="e">
        <f>'Cesiones ind y colec'!#REF!</f>
        <v>#REF!</v>
      </c>
      <c r="I14" s="142" t="e">
        <f>'Cesiones ind y colec'!#REF!</f>
        <v>#REF!</v>
      </c>
      <c r="J14" s="139" t="e">
        <f>'Cesiones ind y colec'!#REF!</f>
        <v>#REF!</v>
      </c>
    </row>
    <row r="15" spans="2:10" ht="15" customHeight="1">
      <c r="B15" s="394"/>
      <c r="C15" s="394"/>
      <c r="D15" s="187" t="s">
        <v>12</v>
      </c>
      <c r="E15" s="179">
        <f>'Artesanal Anchoveta XV-IV'!N11+'Artesanal Anchoveta XV-IV'!N12+'Artesanal Anchoveta XV-IV'!F13+'Artesanal Anchoveta XV-IV'!N14</f>
        <v>9015.5000000000018</v>
      </c>
      <c r="F15" s="76">
        <f>+'Artesanal Anchoveta XV-IV'!O11+'Artesanal Anchoveta XV-IV'!O14</f>
        <v>0</v>
      </c>
      <c r="G15" s="59">
        <f>+'Artesanal Anchoveta XV-IV'!P11+'Artesanal Anchoveta XV-IV'!P12+'Artesanal Anchoveta XV-IV'!P14</f>
        <v>8965.844000000001</v>
      </c>
      <c r="H15" s="59">
        <f>+'Artesanal Anchoveta XV-IV'!Q11+'Artesanal Anchoveta XV-IV'!Q12+'Artesanal Anchoveta XV-IV'!Q14</f>
        <v>0</v>
      </c>
      <c r="I15" s="59">
        <f t="shared" si="0"/>
        <v>8965.844000000001</v>
      </c>
      <c r="J15" s="65">
        <f t="shared" si="1"/>
        <v>0</v>
      </c>
    </row>
    <row r="16" spans="2:10" s="57" customFormat="1" ht="15" customHeight="1">
      <c r="B16" s="395"/>
      <c r="C16" s="395"/>
      <c r="D16" s="188" t="s">
        <v>140</v>
      </c>
      <c r="E16" s="140" t="s">
        <v>64</v>
      </c>
      <c r="F16" s="141" t="s">
        <v>64</v>
      </c>
      <c r="G16" s="142" t="e">
        <f>'Cesiones ind y colec'!#REF!</f>
        <v>#REF!</v>
      </c>
      <c r="H16" s="142" t="e">
        <f>'Cesiones ind y colec'!#REF!</f>
        <v>#REF!</v>
      </c>
      <c r="I16" s="142" t="e">
        <f>'Cesiones ind y colec'!#REF!</f>
        <v>#REF!</v>
      </c>
      <c r="J16" s="139" t="e">
        <f>'Cesiones ind y colec'!#REF!</f>
        <v>#REF!</v>
      </c>
    </row>
    <row r="17" spans="2:10">
      <c r="B17" s="394"/>
      <c r="C17" s="394"/>
      <c r="D17" s="187" t="s">
        <v>13</v>
      </c>
      <c r="E17" s="66">
        <f>+'Artesanal Anchoveta XV-IV'!F9</f>
        <v>1000</v>
      </c>
      <c r="F17" s="66">
        <f>+'Artesanal Anchoveta XV-IV'!G9</f>
        <v>0</v>
      </c>
      <c r="G17" s="66">
        <f>+'Artesanal Anchoveta XV-IV'!H9</f>
        <v>1000</v>
      </c>
      <c r="H17" s="66">
        <f>+'Artesanal Anchoveta XV-IV'!I9</f>
        <v>0</v>
      </c>
      <c r="I17" s="59">
        <f t="shared" si="0"/>
        <v>1000</v>
      </c>
      <c r="J17" s="65">
        <f t="shared" si="1"/>
        <v>0</v>
      </c>
    </row>
    <row r="18" spans="2:10">
      <c r="B18" s="394"/>
      <c r="C18" s="394"/>
      <c r="D18" s="187" t="s">
        <v>14</v>
      </c>
      <c r="E18" s="66">
        <f>+'Artesanal Anchoveta XV-IV'!F15</f>
        <v>500</v>
      </c>
      <c r="F18" s="66">
        <f>+'Artesanal Anchoveta XV-IV'!G15</f>
        <v>0</v>
      </c>
      <c r="G18" s="66">
        <f>+'Artesanal Anchoveta XV-IV'!H15</f>
        <v>500</v>
      </c>
      <c r="H18" s="66">
        <f>+'Artesanal Anchoveta XV-IV'!I15</f>
        <v>0</v>
      </c>
      <c r="I18" s="59">
        <f t="shared" si="0"/>
        <v>500</v>
      </c>
      <c r="J18" s="65">
        <f t="shared" si="1"/>
        <v>0</v>
      </c>
    </row>
    <row r="19" spans="2:10" ht="15" customHeight="1">
      <c r="B19" s="394"/>
      <c r="C19" s="394" t="s">
        <v>100</v>
      </c>
      <c r="D19" s="187" t="s">
        <v>9</v>
      </c>
      <c r="E19" s="66">
        <f>+'Artesanal S.española XV-IV'!M7</f>
        <v>1323</v>
      </c>
      <c r="F19" s="77">
        <f>+'Artesanal S.española XV-IV'!N7</f>
        <v>0</v>
      </c>
      <c r="G19" s="66">
        <f>+'Artesanal S.española XV-IV'!O7</f>
        <v>1323</v>
      </c>
      <c r="H19" s="66">
        <f>+'Artesanal S.española XV-IV'!P7</f>
        <v>1155.4359999999999</v>
      </c>
      <c r="I19" s="66">
        <f t="shared" si="0"/>
        <v>167.56400000000008</v>
      </c>
      <c r="J19" s="74">
        <f t="shared" si="1"/>
        <v>0.87334542705971274</v>
      </c>
    </row>
    <row r="20" spans="2:10">
      <c r="B20" s="394"/>
      <c r="C20" s="395"/>
      <c r="D20" s="187" t="s">
        <v>10</v>
      </c>
      <c r="E20" s="66">
        <f>+'Artesanal S.española XV-IV'!M8</f>
        <v>5007</v>
      </c>
      <c r="F20" s="77">
        <f>+'Artesanal S.española XV-IV'!N8</f>
        <v>0</v>
      </c>
      <c r="G20" s="66">
        <f>+'Artesanal S.española XV-IV'!O8</f>
        <v>5007</v>
      </c>
      <c r="H20" s="66">
        <f>+'Artesanal S.española XV-IV'!P8</f>
        <v>4992.4210000000003</v>
      </c>
      <c r="I20" s="66">
        <f t="shared" si="0"/>
        <v>14.578999999999724</v>
      </c>
      <c r="J20" s="74">
        <f t="shared" si="1"/>
        <v>0.99708827641302178</v>
      </c>
    </row>
    <row r="21" spans="2:10">
      <c r="B21" s="394"/>
      <c r="C21" s="394"/>
      <c r="D21" s="187" t="s">
        <v>11</v>
      </c>
      <c r="E21" s="66">
        <f>+'Artesanal S.española XV-IV'!M10</f>
        <v>725</v>
      </c>
      <c r="F21" s="77">
        <f>+'Artesanal S.española XV-IV'!N10</f>
        <v>0</v>
      </c>
      <c r="G21" s="66">
        <f>+'Artesanal S.española XV-IV'!O10</f>
        <v>725</v>
      </c>
      <c r="H21" s="66">
        <f>+'Artesanal S.española XV-IV'!P10</f>
        <v>952.19899999999996</v>
      </c>
      <c r="I21" s="66">
        <f t="shared" si="0"/>
        <v>-227.19899999999996</v>
      </c>
      <c r="J21" s="74">
        <f t="shared" si="1"/>
        <v>1.3133779310344826</v>
      </c>
    </row>
    <row r="22" spans="2:10">
      <c r="B22" s="394"/>
      <c r="C22" s="395"/>
      <c r="D22" s="187" t="s">
        <v>12</v>
      </c>
      <c r="E22" s="66">
        <f>+'Artesanal S.española XV-IV'!M11</f>
        <v>725</v>
      </c>
      <c r="F22" s="77">
        <f>+'Artesanal S.española XV-IV'!N11</f>
        <v>0</v>
      </c>
      <c r="G22" s="66">
        <f>+'Artesanal S.española XV-IV'!O11</f>
        <v>725</v>
      </c>
      <c r="H22" s="66">
        <f>+'Artesanal S.española XV-IV'!P11</f>
        <v>690.80900000000008</v>
      </c>
      <c r="I22" s="66">
        <f t="shared" si="0"/>
        <v>34.190999999999917</v>
      </c>
      <c r="J22" s="74">
        <f t="shared" si="1"/>
        <v>0.95284000000000013</v>
      </c>
    </row>
    <row r="23" spans="2:10">
      <c r="B23" s="394"/>
      <c r="C23" s="394"/>
      <c r="D23" s="187" t="s">
        <v>13</v>
      </c>
      <c r="E23" s="66">
        <f>'Artesanal S.española XV-IV'!F9</f>
        <v>700</v>
      </c>
      <c r="F23" s="66">
        <f>+'Artesanal S.española XV-IV'!G9</f>
        <v>0</v>
      </c>
      <c r="G23" s="66">
        <f>+'Artesanal S.española XV-IV'!H9</f>
        <v>700</v>
      </c>
      <c r="H23" s="66">
        <f>+'Artesanal S.española XV-IV'!I9</f>
        <v>0</v>
      </c>
      <c r="I23" s="59">
        <f t="shared" si="0"/>
        <v>700</v>
      </c>
      <c r="J23" s="65">
        <f t="shared" si="1"/>
        <v>0</v>
      </c>
    </row>
    <row r="24" spans="2:10">
      <c r="B24" s="394"/>
      <c r="C24" s="395"/>
      <c r="D24" s="187" t="s">
        <v>14</v>
      </c>
      <c r="E24" s="66">
        <f>+'Artesanal S.española XV-IV'!F12</f>
        <v>50</v>
      </c>
      <c r="F24" s="66">
        <f>+'Artesanal S.española XV-IV'!G12</f>
        <v>0</v>
      </c>
      <c r="G24" s="66">
        <f>+'Artesanal S.española XV-IV'!H12</f>
        <v>50</v>
      </c>
      <c r="H24" s="66">
        <f>+'Artesanal S.española XV-IV'!I12</f>
        <v>26.269000000000002</v>
      </c>
      <c r="I24" s="59">
        <f t="shared" si="0"/>
        <v>23.730999999999998</v>
      </c>
      <c r="J24" s="65">
        <f t="shared" si="1"/>
        <v>0.52538000000000007</v>
      </c>
    </row>
    <row r="25" spans="2:10" s="1" customFormat="1" ht="28.5" customHeight="1">
      <c r="B25" s="183" t="s">
        <v>102</v>
      </c>
      <c r="C25" s="397" t="s">
        <v>98</v>
      </c>
      <c r="D25" s="396" t="s">
        <v>15</v>
      </c>
      <c r="E25" s="66">
        <v>137</v>
      </c>
      <c r="F25" s="76">
        <v>0</v>
      </c>
      <c r="G25" s="59">
        <f t="shared" ref="G25:G28" si="2">+E25+F25</f>
        <v>137</v>
      </c>
      <c r="H25" s="59">
        <f>'P. Investigación'!H26+'P. Investigación'!H33</f>
        <v>0</v>
      </c>
      <c r="I25" s="59">
        <f>+G25-H25</f>
        <v>137</v>
      </c>
      <c r="J25" s="65">
        <f>+H25/G25</f>
        <v>0</v>
      </c>
    </row>
    <row r="26" spans="2:10" s="1" customFormat="1">
      <c r="B26" s="183" t="s">
        <v>104</v>
      </c>
      <c r="C26" s="398"/>
      <c r="D26" s="396"/>
      <c r="E26" s="66">
        <v>6887</v>
      </c>
      <c r="F26" s="76"/>
      <c r="G26" s="66">
        <f>+E26+F26</f>
        <v>6887</v>
      </c>
      <c r="H26" s="59">
        <v>0</v>
      </c>
      <c r="I26" s="59">
        <v>0</v>
      </c>
      <c r="J26" s="65">
        <v>0</v>
      </c>
    </row>
    <row r="27" spans="2:10" s="1" customFormat="1">
      <c r="B27" s="183" t="s">
        <v>102</v>
      </c>
      <c r="C27" s="184" t="s">
        <v>98</v>
      </c>
      <c r="D27" s="396" t="s">
        <v>16</v>
      </c>
      <c r="E27" s="66">
        <v>78</v>
      </c>
      <c r="F27" s="76">
        <v>0</v>
      </c>
      <c r="G27" s="59">
        <f t="shared" si="2"/>
        <v>78</v>
      </c>
      <c r="H27" s="59">
        <f>+'P. Investigación'!H19+'P. Investigación'!H42</f>
        <v>0</v>
      </c>
      <c r="I27" s="59">
        <f>+G27-H27</f>
        <v>78</v>
      </c>
      <c r="J27" s="65">
        <f>+H27/G27</f>
        <v>0</v>
      </c>
    </row>
    <row r="28" spans="2:10" s="1" customFormat="1">
      <c r="B28" s="183" t="s">
        <v>102</v>
      </c>
      <c r="C28" s="184" t="s">
        <v>100</v>
      </c>
      <c r="D28" s="396"/>
      <c r="E28" s="66">
        <v>0</v>
      </c>
      <c r="F28" s="76">
        <v>0</v>
      </c>
      <c r="G28" s="59">
        <f t="shared" si="2"/>
        <v>0</v>
      </c>
      <c r="H28" s="59">
        <v>0</v>
      </c>
      <c r="I28" s="59">
        <v>0</v>
      </c>
      <c r="J28" s="65">
        <v>0</v>
      </c>
    </row>
    <row r="29" spans="2:10">
      <c r="B29" s="393" t="s">
        <v>97</v>
      </c>
      <c r="C29" s="390" t="s">
        <v>98</v>
      </c>
      <c r="D29" s="186" t="s">
        <v>15</v>
      </c>
      <c r="E29" s="178">
        <f>Industrial!E17</f>
        <v>579817.83100000001</v>
      </c>
      <c r="F29" s="76">
        <f>+Industrial!L17</f>
        <v>-202904.679</v>
      </c>
      <c r="G29" s="59">
        <f>+Industrial!M17</f>
        <v>376913.152</v>
      </c>
      <c r="H29" s="59">
        <f>+Industrial!N17</f>
        <v>0</v>
      </c>
      <c r="I29" s="59">
        <f>+G29-H29</f>
        <v>376913.152</v>
      </c>
      <c r="J29" s="65">
        <f>+H29/G29</f>
        <v>0</v>
      </c>
    </row>
    <row r="30" spans="2:10">
      <c r="B30" s="393"/>
      <c r="C30" s="390"/>
      <c r="D30" s="186" t="s">
        <v>16</v>
      </c>
      <c r="E30" s="66">
        <f>+Industrial!K33</f>
        <v>30551.501</v>
      </c>
      <c r="F30" s="76">
        <f>+Industrial!L33</f>
        <v>-3000</v>
      </c>
      <c r="G30" s="59">
        <f>+Industrial!M33</f>
        <v>27551.501</v>
      </c>
      <c r="H30" s="59">
        <f>+Industrial!N33</f>
        <v>0</v>
      </c>
      <c r="I30" s="59">
        <f>+G30-H30</f>
        <v>27551.501</v>
      </c>
      <c r="J30" s="65">
        <f>+H30/G30</f>
        <v>0</v>
      </c>
    </row>
    <row r="31" spans="2:10">
      <c r="B31" s="393"/>
      <c r="C31" s="390" t="s">
        <v>105</v>
      </c>
      <c r="D31" s="186" t="s">
        <v>15</v>
      </c>
      <c r="E31" s="66">
        <f>Industrial!E37</f>
        <v>2970</v>
      </c>
      <c r="F31" s="76">
        <f>+Industrial!L37</f>
        <v>-2100</v>
      </c>
      <c r="G31" s="59">
        <f>+Industrial!M37</f>
        <v>870.00000000000011</v>
      </c>
      <c r="H31" s="59">
        <f>+Industrial!N37</f>
        <v>0</v>
      </c>
      <c r="I31" s="59">
        <f>+G31-H31</f>
        <v>870.00000000000011</v>
      </c>
      <c r="J31" s="65">
        <f>+H31/G31</f>
        <v>0</v>
      </c>
    </row>
    <row r="32" spans="2:10">
      <c r="B32" s="393"/>
      <c r="C32" s="390"/>
      <c r="D32" s="186" t="s">
        <v>16</v>
      </c>
      <c r="E32" s="66">
        <f>+Industrial!K48</f>
        <v>1500.0000000000002</v>
      </c>
      <c r="F32" s="76">
        <f>+Industrial!L48</f>
        <v>-1270</v>
      </c>
      <c r="G32" s="59">
        <f>+Industrial!M48</f>
        <v>230</v>
      </c>
      <c r="H32" s="59">
        <f>+Industrial!N48</f>
        <v>0</v>
      </c>
      <c r="I32" s="59">
        <f>+G32-H32</f>
        <v>230</v>
      </c>
      <c r="J32" s="65">
        <f>+H32/G32</f>
        <v>0</v>
      </c>
    </row>
    <row r="33" spans="2:10" s="57" customFormat="1">
      <c r="B33" s="386" t="s">
        <v>141</v>
      </c>
      <c r="C33" s="185" t="s">
        <v>99</v>
      </c>
      <c r="D33" s="387" t="s">
        <v>118</v>
      </c>
      <c r="E33" s="66">
        <v>0</v>
      </c>
      <c r="F33" s="76">
        <f>'Cesiones ind y colec'!T5</f>
        <v>205904.679</v>
      </c>
      <c r="G33" s="59">
        <f>'Cesiones ind y colec'!T5</f>
        <v>205904.679</v>
      </c>
      <c r="H33" s="59">
        <f>'Cesiones ind y colec'!U5</f>
        <v>0</v>
      </c>
      <c r="I33" s="59" t="e">
        <f>+'Cesiones ind y colec'!#REF!</f>
        <v>#REF!</v>
      </c>
      <c r="J33" s="65" t="e">
        <f>+'Cesiones ind y colec'!#REF!</f>
        <v>#REF!</v>
      </c>
    </row>
    <row r="34" spans="2:10" s="57" customFormat="1">
      <c r="B34" s="386"/>
      <c r="C34" s="185" t="s">
        <v>100</v>
      </c>
      <c r="D34" s="388"/>
      <c r="E34" s="66">
        <v>0</v>
      </c>
      <c r="F34" s="76">
        <f>'Cesiones ind y colec'!T6</f>
        <v>3370</v>
      </c>
      <c r="G34" s="59">
        <f>'Cesiones ind y colec'!T6</f>
        <v>3370</v>
      </c>
      <c r="H34" s="59" t="e">
        <f>+'Cesiones ind y colec'!#REF!</f>
        <v>#REF!</v>
      </c>
      <c r="I34" s="59" t="e">
        <f>+'Cesiones ind y colec'!#REF!</f>
        <v>#REF!</v>
      </c>
      <c r="J34" s="65" t="e">
        <f>+'Cesiones ind y colec'!#REF!</f>
        <v>#REF!</v>
      </c>
    </row>
    <row r="35" spans="2:10" ht="15.75">
      <c r="E35" s="229">
        <f>SUM(E9:E34)</f>
        <v>762880.83200000005</v>
      </c>
      <c r="F35" s="230">
        <f>SUM(F9:F34)</f>
        <v>0</v>
      </c>
      <c r="G35" s="81"/>
    </row>
    <row r="36" spans="2:10" ht="15.75">
      <c r="E36" s="231"/>
      <c r="F36" s="231"/>
    </row>
  </sheetData>
  <mergeCells count="14">
    <mergeCell ref="B33:B34"/>
    <mergeCell ref="D33:D34"/>
    <mergeCell ref="B2:J3"/>
    <mergeCell ref="C31:C32"/>
    <mergeCell ref="C4:J4"/>
    <mergeCell ref="C5:J5"/>
    <mergeCell ref="B29:B32"/>
    <mergeCell ref="B9:B24"/>
    <mergeCell ref="D25:D26"/>
    <mergeCell ref="D27:D28"/>
    <mergeCell ref="C9:C18"/>
    <mergeCell ref="C19:C24"/>
    <mergeCell ref="C29:C30"/>
    <mergeCell ref="C25:C26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Q65"/>
  <sheetViews>
    <sheetView zoomScale="90" zoomScaleNormal="90" workbookViewId="0">
      <selection activeCell="P7" sqref="P7"/>
    </sheetView>
  </sheetViews>
  <sheetFormatPr baseColWidth="10" defaultRowHeight="15"/>
  <cols>
    <col min="1" max="2" width="19" bestFit="1" customWidth="1"/>
    <col min="4" max="4" width="17.85546875" bestFit="1" customWidth="1"/>
    <col min="5" max="5" width="29.5703125" bestFit="1" customWidth="1"/>
    <col min="14" max="14" width="11.42578125" style="50"/>
  </cols>
  <sheetData>
    <row r="1" spans="1:17">
      <c r="A1" s="53" t="s">
        <v>65</v>
      </c>
      <c r="B1" s="53" t="s">
        <v>66</v>
      </c>
      <c r="C1" s="53" t="s">
        <v>67</v>
      </c>
      <c r="D1" s="53" t="s">
        <v>68</v>
      </c>
      <c r="E1" s="51" t="s">
        <v>69</v>
      </c>
      <c r="F1" s="53" t="s">
        <v>70</v>
      </c>
      <c r="G1" s="53" t="s">
        <v>71</v>
      </c>
      <c r="H1" s="53" t="s">
        <v>72</v>
      </c>
      <c r="I1" s="53" t="s">
        <v>73</v>
      </c>
      <c r="J1" s="53" t="s">
        <v>74</v>
      </c>
      <c r="K1" s="53" t="s">
        <v>127</v>
      </c>
      <c r="L1" s="54" t="s">
        <v>75</v>
      </c>
      <c r="M1" s="55" t="s">
        <v>76</v>
      </c>
      <c r="N1" s="72" t="s">
        <v>77</v>
      </c>
      <c r="O1" s="56" t="s">
        <v>78</v>
      </c>
      <c r="P1" s="2" t="s">
        <v>79</v>
      </c>
      <c r="Q1" s="2" t="s">
        <v>80</v>
      </c>
    </row>
    <row r="2" spans="1:17">
      <c r="A2" s="126" t="s">
        <v>81</v>
      </c>
      <c r="B2" s="126" t="s">
        <v>81</v>
      </c>
      <c r="C2" s="126" t="s">
        <v>82</v>
      </c>
      <c r="D2" s="126" t="s">
        <v>83</v>
      </c>
      <c r="E2" s="126" t="str">
        <f>+Industrial!C11</f>
        <v>ARICA SEAFOOD PRODUCER S.A.</v>
      </c>
      <c r="F2" s="129">
        <v>45292</v>
      </c>
      <c r="G2" s="129">
        <v>45657</v>
      </c>
      <c r="H2" s="126">
        <f>+Industrial!E11</f>
        <v>5106.2299999999996</v>
      </c>
      <c r="I2" s="57">
        <f>+Industrial!F11</f>
        <v>0</v>
      </c>
      <c r="J2" s="57">
        <f>+Industrial!G11</f>
        <v>5106.2299999999996</v>
      </c>
      <c r="K2" s="57">
        <f>+Industrial!H11</f>
        <v>0</v>
      </c>
      <c r="L2" s="57">
        <f>+Industrial!I11</f>
        <v>5106.2299999999996</v>
      </c>
      <c r="M2" s="17">
        <f>+Industrial!J11</f>
        <v>0</v>
      </c>
      <c r="N2" s="73" t="s">
        <v>64</v>
      </c>
      <c r="O2" s="50">
        <f>+Resumen!C$4</f>
        <v>45484</v>
      </c>
      <c r="P2">
        <v>2024</v>
      </c>
    </row>
    <row r="3" spans="1:17">
      <c r="A3" s="126" t="s">
        <v>81</v>
      </c>
      <c r="B3" s="126" t="s">
        <v>81</v>
      </c>
      <c r="C3" s="126" t="s">
        <v>82</v>
      </c>
      <c r="D3" s="126" t="s">
        <v>83</v>
      </c>
      <c r="E3" s="126" t="str">
        <f>+Industrial!C12</f>
        <v>CAMANCHACA S.A</v>
      </c>
      <c r="F3" s="129">
        <v>45292</v>
      </c>
      <c r="G3" s="129">
        <v>45657</v>
      </c>
      <c r="H3" s="126">
        <f>+Industrial!E12</f>
        <v>140184.859</v>
      </c>
      <c r="I3" s="57">
        <f>+Industrial!F12</f>
        <v>-50000</v>
      </c>
      <c r="J3" s="57">
        <f>+Industrial!G12</f>
        <v>90184.858999999997</v>
      </c>
      <c r="K3" s="57">
        <f>+Industrial!H12</f>
        <v>0</v>
      </c>
      <c r="L3" s="57">
        <f>+Industrial!I12</f>
        <v>90184.858999999997</v>
      </c>
      <c r="M3" s="17">
        <f>+Industrial!J12</f>
        <v>0</v>
      </c>
      <c r="N3" s="73" t="s">
        <v>64</v>
      </c>
      <c r="O3" s="50">
        <f>+Resumen!C$4</f>
        <v>45484</v>
      </c>
      <c r="P3" s="57">
        <v>2024</v>
      </c>
    </row>
    <row r="4" spans="1:17" s="57" customFormat="1">
      <c r="A4" s="126" t="s">
        <v>81</v>
      </c>
      <c r="B4" s="126" t="s">
        <v>81</v>
      </c>
      <c r="C4" s="126" t="s">
        <v>82</v>
      </c>
      <c r="D4" s="126" t="s">
        <v>83</v>
      </c>
      <c r="E4" s="126" t="str">
        <f>+Industrial!C13</f>
        <v>CORPESCA S.A</v>
      </c>
      <c r="F4" s="129">
        <v>45292</v>
      </c>
      <c r="G4" s="129">
        <v>45657</v>
      </c>
      <c r="H4" s="126">
        <f>+Industrial!E13</f>
        <v>413363.38500000001</v>
      </c>
      <c r="I4" s="57">
        <f>+Industrial!F13</f>
        <v>-133000</v>
      </c>
      <c r="J4" s="57">
        <f>+Industrial!G13</f>
        <v>280363.38500000001</v>
      </c>
      <c r="K4" s="57">
        <f>+Industrial!H13</f>
        <v>0</v>
      </c>
      <c r="L4" s="57">
        <f>+Industrial!I13</f>
        <v>280363.38500000001</v>
      </c>
      <c r="M4" s="17">
        <f>+Industrial!J13</f>
        <v>0</v>
      </c>
      <c r="N4" s="73" t="s">
        <v>64</v>
      </c>
      <c r="O4" s="50">
        <f>+Resumen!C$4</f>
        <v>45484</v>
      </c>
      <c r="P4" s="57">
        <v>2024</v>
      </c>
    </row>
    <row r="5" spans="1:17" s="57" customFormat="1">
      <c r="A5" s="126" t="s">
        <v>81</v>
      </c>
      <c r="B5" s="126" t="s">
        <v>81</v>
      </c>
      <c r="C5" s="126" t="s">
        <v>82</v>
      </c>
      <c r="D5" s="126" t="s">
        <v>83</v>
      </c>
      <c r="E5" s="126" t="str">
        <f>+Industrial!C14</f>
        <v>DEL NORTE SpA SIND. PESQ.</v>
      </c>
      <c r="F5" s="129">
        <v>45292</v>
      </c>
      <c r="G5" s="129">
        <v>45657</v>
      </c>
      <c r="H5" s="126">
        <f>+Industrial!E14</f>
        <v>17974.358</v>
      </c>
      <c r="I5" s="57">
        <f>+Industrial!F14</f>
        <v>-21949.831999999999</v>
      </c>
      <c r="J5" s="57">
        <f>+Industrial!G14</f>
        <v>-3975.4739999999983</v>
      </c>
      <c r="K5" s="57">
        <f>+Industrial!H14</f>
        <v>0</v>
      </c>
      <c r="L5" s="57">
        <f>+Industrial!I14</f>
        <v>-3975.4739999999983</v>
      </c>
      <c r="M5" s="17">
        <f>+Industrial!J14</f>
        <v>0</v>
      </c>
      <c r="N5" s="73" t="s">
        <v>64</v>
      </c>
      <c r="O5" s="50">
        <f>+Resumen!C$4</f>
        <v>45484</v>
      </c>
      <c r="P5" s="57">
        <v>2024</v>
      </c>
    </row>
    <row r="6" spans="1:17" s="57" customFormat="1">
      <c r="A6" s="126" t="s">
        <v>81</v>
      </c>
      <c r="B6" s="126" t="s">
        <v>81</v>
      </c>
      <c r="C6" s="126" t="s">
        <v>82</v>
      </c>
      <c r="D6" s="126" t="s">
        <v>83</v>
      </c>
      <c r="E6" s="126" t="str">
        <f>+Industrial!C15</f>
        <v>DECASUR SPA</v>
      </c>
      <c r="F6" s="129">
        <v>45292</v>
      </c>
      <c r="G6" s="129">
        <v>45657</v>
      </c>
      <c r="H6" s="126">
        <f>+Industrial!E15</f>
        <v>0</v>
      </c>
      <c r="I6" s="57">
        <f>+Industrial!F15</f>
        <v>5218.3619999999992</v>
      </c>
      <c r="J6" s="57">
        <f>+Industrial!G15</f>
        <v>5218.3619999999992</v>
      </c>
      <c r="K6" s="57">
        <f>+Industrial!H15</f>
        <v>0</v>
      </c>
      <c r="L6" s="57">
        <f>+Industrial!I15</f>
        <v>5218.3619999999992</v>
      </c>
      <c r="M6" s="17">
        <f>+Industrial!J15</f>
        <v>0</v>
      </c>
      <c r="N6" s="73" t="s">
        <v>64</v>
      </c>
      <c r="O6" s="50">
        <f>+Resumen!C$4</f>
        <v>45484</v>
      </c>
      <c r="P6" s="381">
        <v>2024</v>
      </c>
    </row>
    <row r="7" spans="1:17" s="57" customFormat="1">
      <c r="A7" s="126" t="s">
        <v>81</v>
      </c>
      <c r="B7" s="126" t="s">
        <v>81</v>
      </c>
      <c r="C7" s="126" t="s">
        <v>82</v>
      </c>
      <c r="D7" s="126" t="s">
        <v>83</v>
      </c>
      <c r="E7" s="126" t="str">
        <f>+Industrial!C16</f>
        <v>ESPACIO PESQUERO SpA.</v>
      </c>
      <c r="F7" s="129">
        <v>45292</v>
      </c>
      <c r="G7" s="129">
        <v>45657</v>
      </c>
      <c r="H7" s="126">
        <f>+Industrial!E16</f>
        <v>3188.9989999999998</v>
      </c>
      <c r="I7" s="57">
        <f>+Industrial!F16</f>
        <v>-3173.2089999999998</v>
      </c>
      <c r="J7" s="57">
        <f>+Industrial!G16</f>
        <v>15.789999999999964</v>
      </c>
      <c r="K7" s="57">
        <f>+Industrial!H16</f>
        <v>0</v>
      </c>
      <c r="L7" s="57">
        <f>+Industrial!I16</f>
        <v>15.789999999999964</v>
      </c>
      <c r="M7" s="17">
        <f>+Industrial!J16</f>
        <v>0</v>
      </c>
      <c r="N7" s="73" t="s">
        <v>64</v>
      </c>
      <c r="O7" s="50">
        <f>+Resumen!C$4</f>
        <v>45484</v>
      </c>
      <c r="P7" s="57">
        <v>2024</v>
      </c>
    </row>
    <row r="8" spans="1:17" s="130" customFormat="1">
      <c r="A8" s="134" t="s">
        <v>81</v>
      </c>
      <c r="B8" s="134" t="s">
        <v>81</v>
      </c>
      <c r="C8" s="134" t="s">
        <v>82</v>
      </c>
      <c r="D8" s="134" t="s">
        <v>83</v>
      </c>
      <c r="E8" s="134" t="s">
        <v>85</v>
      </c>
      <c r="F8" s="151">
        <v>45292</v>
      </c>
      <c r="G8" s="151">
        <v>45657</v>
      </c>
      <c r="H8" s="135">
        <f>+Industrial!K17</f>
        <v>579817.83100000001</v>
      </c>
      <c r="I8" s="130">
        <f>+Industrial!L17</f>
        <v>-202904.679</v>
      </c>
      <c r="J8" s="130">
        <f>+Industrial!M17</f>
        <v>376913.152</v>
      </c>
      <c r="K8" s="130">
        <f>+Industrial!N17</f>
        <v>0</v>
      </c>
      <c r="L8" s="130">
        <f>+Industrial!O17</f>
        <v>376913.152</v>
      </c>
      <c r="M8" s="131">
        <f>+Industrial!P17</f>
        <v>0</v>
      </c>
      <c r="N8" s="132" t="s">
        <v>64</v>
      </c>
      <c r="O8" s="133">
        <f>+Resumen!C$4</f>
        <v>45484</v>
      </c>
      <c r="P8" s="57">
        <v>2024</v>
      </c>
    </row>
    <row r="9" spans="1:17">
      <c r="A9" s="126" t="s">
        <v>81</v>
      </c>
      <c r="B9" s="126" t="s">
        <v>81</v>
      </c>
      <c r="C9" s="126" t="s">
        <v>84</v>
      </c>
      <c r="D9" s="126" t="s">
        <v>83</v>
      </c>
      <c r="E9" s="126" t="str">
        <f>+Industrial!C18</f>
        <v>ABASTECIMIENTO DEL PACIFICO S.A.</v>
      </c>
      <c r="F9" s="129">
        <v>45292</v>
      </c>
      <c r="G9" s="129">
        <v>45657</v>
      </c>
      <c r="H9" s="126">
        <f>+Industrial!E18</f>
        <v>320.791</v>
      </c>
      <c r="I9" s="57">
        <f>+Industrial!F18</f>
        <v>0</v>
      </c>
      <c r="J9" s="57">
        <f>+Industrial!G18</f>
        <v>320.791</v>
      </c>
      <c r="K9" s="57">
        <f>+Industrial!H18</f>
        <v>0</v>
      </c>
      <c r="L9" s="57">
        <f>+Industrial!I18</f>
        <v>320.791</v>
      </c>
      <c r="M9" s="17">
        <f>+Industrial!J18</f>
        <v>0</v>
      </c>
      <c r="N9" s="73" t="s">
        <v>64</v>
      </c>
      <c r="O9" s="50">
        <f>+Resumen!C$4</f>
        <v>45484</v>
      </c>
      <c r="P9" s="57">
        <v>2024</v>
      </c>
    </row>
    <row r="10" spans="1:17" s="57" customFormat="1">
      <c r="A10" s="126" t="s">
        <v>81</v>
      </c>
      <c r="B10" s="126" t="s">
        <v>81</v>
      </c>
      <c r="C10" s="126" t="s">
        <v>84</v>
      </c>
      <c r="D10" s="126" t="s">
        <v>83</v>
      </c>
      <c r="E10" s="126" t="str">
        <f>+Industrial!C19</f>
        <v xml:space="preserve">ALIMENTOS MARINOS S.A.          </v>
      </c>
      <c r="F10" s="129">
        <v>45292</v>
      </c>
      <c r="G10" s="129">
        <v>45657</v>
      </c>
      <c r="H10" s="126">
        <f>+Industrial!E19</f>
        <v>1710.798</v>
      </c>
      <c r="I10" s="126">
        <f>+Industrial!F19</f>
        <v>0</v>
      </c>
      <c r="J10" s="126">
        <f>+Industrial!G19</f>
        <v>1710.798</v>
      </c>
      <c r="K10" s="126">
        <f>+Industrial!H19</f>
        <v>0</v>
      </c>
      <c r="L10" s="126">
        <f>+Industrial!I19</f>
        <v>1710.798</v>
      </c>
      <c r="M10" s="127">
        <f>+Industrial!J19</f>
        <v>0</v>
      </c>
      <c r="N10" s="73" t="s">
        <v>64</v>
      </c>
      <c r="O10" s="50">
        <f>+Resumen!C$4</f>
        <v>45484</v>
      </c>
      <c r="P10" s="57">
        <v>2024</v>
      </c>
    </row>
    <row r="11" spans="1:17">
      <c r="A11" s="126" t="s">
        <v>81</v>
      </c>
      <c r="B11" s="126" t="s">
        <v>81</v>
      </c>
      <c r="C11" s="126" t="s">
        <v>84</v>
      </c>
      <c r="D11" s="126" t="s">
        <v>83</v>
      </c>
      <c r="E11" s="126" t="str">
        <f>+Industrial!C20</f>
        <v>ATILIO REYES BARRERA</v>
      </c>
      <c r="F11" s="129">
        <v>45292</v>
      </c>
      <c r="G11" s="129">
        <v>45657</v>
      </c>
      <c r="H11" s="126">
        <f>+Industrial!E20</f>
        <v>229.137</v>
      </c>
      <c r="I11" s="57">
        <f>+Industrial!F20</f>
        <v>0</v>
      </c>
      <c r="J11" s="57">
        <f>+Industrial!G20</f>
        <v>229.137</v>
      </c>
      <c r="K11" s="57">
        <f>+Industrial!H20</f>
        <v>0</v>
      </c>
      <c r="L11" s="57">
        <f>+Industrial!I20</f>
        <v>229.137</v>
      </c>
      <c r="M11" s="17">
        <f>+Industrial!J20</f>
        <v>0</v>
      </c>
      <c r="N11" s="73" t="s">
        <v>64</v>
      </c>
      <c r="O11" s="50">
        <f>+Resumen!C$4</f>
        <v>45484</v>
      </c>
      <c r="P11" s="57">
        <v>2024</v>
      </c>
    </row>
    <row r="12" spans="1:17">
      <c r="A12" s="126" t="s">
        <v>81</v>
      </c>
      <c r="B12" s="126" t="s">
        <v>81</v>
      </c>
      <c r="C12" s="126" t="s">
        <v>84</v>
      </c>
      <c r="D12" s="126" t="s">
        <v>83</v>
      </c>
      <c r="E12" s="126" t="str">
        <f>+Industrial!C21</f>
        <v xml:space="preserve">BAHIA CALDERA S.A. PESQ.          </v>
      </c>
      <c r="F12" s="129">
        <v>45292</v>
      </c>
      <c r="G12" s="129">
        <v>45657</v>
      </c>
      <c r="H12" s="126">
        <f>+Industrial!E21</f>
        <v>13365.611999999999</v>
      </c>
      <c r="I12" s="57">
        <f>+Industrial!F21</f>
        <v>0</v>
      </c>
      <c r="J12" s="57">
        <f>+Industrial!G21</f>
        <v>13365.611999999999</v>
      </c>
      <c r="K12" s="57">
        <f>+Industrial!H21</f>
        <v>0</v>
      </c>
      <c r="L12" s="57">
        <f>+Industrial!I21</f>
        <v>13365.611999999999</v>
      </c>
      <c r="M12" s="17">
        <f>+Industrial!J21</f>
        <v>0</v>
      </c>
      <c r="N12" s="73" t="s">
        <v>64</v>
      </c>
      <c r="O12" s="50">
        <f>+Resumen!C$4</f>
        <v>45484</v>
      </c>
      <c r="P12" s="57">
        <v>2024</v>
      </c>
    </row>
    <row r="13" spans="1:17">
      <c r="A13" s="126" t="s">
        <v>81</v>
      </c>
      <c r="B13" s="126" t="s">
        <v>81</v>
      </c>
      <c r="C13" s="126" t="s">
        <v>84</v>
      </c>
      <c r="D13" s="126" t="s">
        <v>83</v>
      </c>
      <c r="E13" s="126" t="str">
        <f>+Industrial!C22</f>
        <v xml:space="preserve">BLUMAR S.A.                                              </v>
      </c>
      <c r="F13" s="129">
        <v>45292</v>
      </c>
      <c r="G13" s="129">
        <v>45657</v>
      </c>
      <c r="H13" s="126">
        <f>+Industrial!E22</f>
        <v>98.686999999999998</v>
      </c>
      <c r="I13" s="57">
        <f>+Industrial!F22</f>
        <v>0</v>
      </c>
      <c r="J13" s="57">
        <f>+Industrial!G22</f>
        <v>98.686999999999998</v>
      </c>
      <c r="K13" s="57">
        <f>+Industrial!H22</f>
        <v>0</v>
      </c>
      <c r="L13" s="57">
        <f>+Industrial!I22</f>
        <v>98.686999999999998</v>
      </c>
      <c r="M13" s="17">
        <f>+Industrial!J22</f>
        <v>0</v>
      </c>
      <c r="N13" s="73" t="s">
        <v>64</v>
      </c>
      <c r="O13" s="50">
        <f>+Resumen!C$4</f>
        <v>45484</v>
      </c>
      <c r="P13" s="57">
        <v>2024</v>
      </c>
    </row>
    <row r="14" spans="1:17">
      <c r="A14" s="126" t="s">
        <v>81</v>
      </c>
      <c r="B14" s="126" t="s">
        <v>81</v>
      </c>
      <c r="C14" s="126" t="s">
        <v>84</v>
      </c>
      <c r="D14" s="126" t="s">
        <v>83</v>
      </c>
      <c r="E14" s="126" t="str">
        <f>+Industrial!C23</f>
        <v xml:space="preserve">CAMANCHACA PESCA SUR S.A.  </v>
      </c>
      <c r="F14" s="129">
        <v>45292</v>
      </c>
      <c r="G14" s="129">
        <v>45657</v>
      </c>
      <c r="H14" s="126">
        <f>+Industrial!E23</f>
        <v>826.92700000000002</v>
      </c>
      <c r="I14" s="57">
        <f>+Industrial!F23</f>
        <v>0</v>
      </c>
      <c r="J14" s="57">
        <f>+Industrial!G23</f>
        <v>826.92700000000002</v>
      </c>
      <c r="K14" s="57">
        <f>+Industrial!H23</f>
        <v>0</v>
      </c>
      <c r="L14" s="57">
        <f>+Industrial!I23</f>
        <v>826.92700000000002</v>
      </c>
      <c r="M14" s="17">
        <f>+Industrial!J23</f>
        <v>0</v>
      </c>
      <c r="N14" s="73" t="s">
        <v>64</v>
      </c>
      <c r="O14" s="50">
        <f>+Resumen!C$4</f>
        <v>45484</v>
      </c>
      <c r="P14" s="57">
        <v>2024</v>
      </c>
    </row>
    <row r="15" spans="1:17">
      <c r="A15" s="126" t="s">
        <v>81</v>
      </c>
      <c r="B15" s="126" t="s">
        <v>81</v>
      </c>
      <c r="C15" s="126" t="s">
        <v>84</v>
      </c>
      <c r="D15" s="126" t="s">
        <v>83</v>
      </c>
      <c r="E15" s="126" t="str">
        <f>+Industrial!C24</f>
        <v xml:space="preserve">CAMANCHACA S.A. CIA. PESQ    </v>
      </c>
      <c r="F15" s="129">
        <v>45292</v>
      </c>
      <c r="G15" s="129">
        <v>45657</v>
      </c>
      <c r="H15" s="126">
        <f>+Industrial!E24</f>
        <v>23.632000000000001</v>
      </c>
      <c r="I15" s="57">
        <f>+Industrial!F24</f>
        <v>0</v>
      </c>
      <c r="J15" s="57">
        <f>+Industrial!G24</f>
        <v>23.632000000000001</v>
      </c>
      <c r="K15" s="57">
        <f>+Industrial!H24</f>
        <v>0</v>
      </c>
      <c r="L15" s="57">
        <f>+Industrial!I24</f>
        <v>23.632000000000001</v>
      </c>
      <c r="M15" s="17">
        <f>+Industrial!J24</f>
        <v>0</v>
      </c>
      <c r="N15" s="73" t="s">
        <v>64</v>
      </c>
      <c r="O15" s="50">
        <f>+Resumen!C$4</f>
        <v>45484</v>
      </c>
      <c r="P15" s="57">
        <v>2024</v>
      </c>
    </row>
    <row r="16" spans="1:17">
      <c r="A16" s="126" t="s">
        <v>81</v>
      </c>
      <c r="B16" s="126" t="s">
        <v>81</v>
      </c>
      <c r="C16" s="126" t="s">
        <v>84</v>
      </c>
      <c r="D16" s="126" t="s">
        <v>83</v>
      </c>
      <c r="E16" s="126" t="str">
        <f>+Industrial!C25</f>
        <v>ERIC ARACENA REYNUABA</v>
      </c>
      <c r="F16" s="129">
        <v>45292</v>
      </c>
      <c r="G16" s="129">
        <v>45657</v>
      </c>
      <c r="H16" s="126">
        <f>+Industrial!E25</f>
        <v>122.206</v>
      </c>
      <c r="I16" s="57">
        <f>+Industrial!F25</f>
        <v>0</v>
      </c>
      <c r="J16" s="57">
        <f>+Industrial!G25</f>
        <v>122.206</v>
      </c>
      <c r="K16" s="57">
        <f>+Industrial!H25</f>
        <v>0</v>
      </c>
      <c r="L16" s="57">
        <f>+Industrial!I25</f>
        <v>122.206</v>
      </c>
      <c r="M16" s="17">
        <f>+Industrial!J25</f>
        <v>0</v>
      </c>
      <c r="N16" s="73" t="s">
        <v>64</v>
      </c>
      <c r="O16" s="50">
        <f>+Resumen!C$4</f>
        <v>45484</v>
      </c>
      <c r="P16" s="57">
        <v>2024</v>
      </c>
    </row>
    <row r="17" spans="1:16">
      <c r="A17" s="126" t="s">
        <v>81</v>
      </c>
      <c r="B17" s="126" t="s">
        <v>81</v>
      </c>
      <c r="C17" s="126" t="s">
        <v>84</v>
      </c>
      <c r="D17" s="126" t="s">
        <v>83</v>
      </c>
      <c r="E17" s="126" t="str">
        <f>+Industrial!C26</f>
        <v>FOODCORP CHILE S.A.</v>
      </c>
      <c r="F17" s="129">
        <v>45292</v>
      </c>
      <c r="G17" s="129">
        <v>45657</v>
      </c>
      <c r="H17" s="126">
        <f>+Industrial!E26</f>
        <v>76.379000000000005</v>
      </c>
      <c r="I17" s="57">
        <f>+Industrial!F26</f>
        <v>0</v>
      </c>
      <c r="J17" s="57">
        <f>+Industrial!G26</f>
        <v>76.379000000000005</v>
      </c>
      <c r="K17" s="57">
        <f>+Industrial!H26</f>
        <v>0</v>
      </c>
      <c r="L17" s="57">
        <f>+Industrial!I26</f>
        <v>76.379000000000005</v>
      </c>
      <c r="M17" s="17">
        <f>+Industrial!J26</f>
        <v>0</v>
      </c>
      <c r="N17" s="73" t="s">
        <v>64</v>
      </c>
      <c r="O17" s="50">
        <f>+Resumen!C$4</f>
        <v>45484</v>
      </c>
      <c r="P17" s="57">
        <v>2024</v>
      </c>
    </row>
    <row r="18" spans="1:16">
      <c r="A18" s="126" t="s">
        <v>81</v>
      </c>
      <c r="B18" s="126" t="s">
        <v>81</v>
      </c>
      <c r="C18" s="126" t="s">
        <v>84</v>
      </c>
      <c r="D18" s="126" t="s">
        <v>83</v>
      </c>
      <c r="E18" s="126" t="str">
        <f>+Industrial!C27</f>
        <v>GIULLIANO REYNUABA SALAS</v>
      </c>
      <c r="F18" s="129">
        <v>45292</v>
      </c>
      <c r="G18" s="129">
        <v>45657</v>
      </c>
      <c r="H18" s="126">
        <f>+Industrial!E27</f>
        <v>122.206</v>
      </c>
      <c r="I18" s="57">
        <f>+Industrial!F27</f>
        <v>0</v>
      </c>
      <c r="J18" s="57">
        <f>+Industrial!G27</f>
        <v>122.206</v>
      </c>
      <c r="K18" s="57">
        <f>+Industrial!H27</f>
        <v>0</v>
      </c>
      <c r="L18" s="57">
        <f>+Industrial!I27</f>
        <v>122.206</v>
      </c>
      <c r="M18" s="17">
        <f>+Industrial!J27</f>
        <v>0</v>
      </c>
      <c r="N18" s="73" t="s">
        <v>64</v>
      </c>
      <c r="O18" s="50">
        <f>+Resumen!C$4</f>
        <v>45484</v>
      </c>
      <c r="P18" s="57">
        <v>2024</v>
      </c>
    </row>
    <row r="19" spans="1:16">
      <c r="A19" s="126" t="s">
        <v>81</v>
      </c>
      <c r="B19" s="126" t="s">
        <v>81</v>
      </c>
      <c r="C19" s="126" t="s">
        <v>84</v>
      </c>
      <c r="D19" s="126" t="s">
        <v>83</v>
      </c>
      <c r="E19" s="126" t="str">
        <f>+Industrial!C28</f>
        <v xml:space="preserve">LANDES S.A. SOC. PESQ.                           </v>
      </c>
      <c r="F19" s="129">
        <v>45292</v>
      </c>
      <c r="G19" s="129">
        <v>45657</v>
      </c>
      <c r="H19" s="126">
        <f>+Industrial!E28</f>
        <v>2.8540000000000001</v>
      </c>
      <c r="I19" s="57">
        <f>+Industrial!F28</f>
        <v>-0.307</v>
      </c>
      <c r="J19" s="57">
        <f>+Industrial!G28</f>
        <v>2.5470000000000002</v>
      </c>
      <c r="K19" s="57">
        <f>+Industrial!H28</f>
        <v>0</v>
      </c>
      <c r="L19" s="57">
        <f>+Industrial!I28</f>
        <v>2.5470000000000002</v>
      </c>
      <c r="M19" s="17">
        <f>+Industrial!J28</f>
        <v>0</v>
      </c>
      <c r="N19" s="73" t="s">
        <v>64</v>
      </c>
      <c r="O19" s="50">
        <f>+Resumen!C$4</f>
        <v>45484</v>
      </c>
      <c r="P19" s="57">
        <v>2024</v>
      </c>
    </row>
    <row r="20" spans="1:16">
      <c r="A20" s="126" t="s">
        <v>81</v>
      </c>
      <c r="B20" s="126" t="s">
        <v>81</v>
      </c>
      <c r="C20" s="126" t="s">
        <v>84</v>
      </c>
      <c r="D20" s="126" t="s">
        <v>83</v>
      </c>
      <c r="E20" s="126" t="str">
        <f>+Industrial!C29</f>
        <v xml:space="preserve">ORIZON S.A                                                   </v>
      </c>
      <c r="F20" s="129">
        <v>45292</v>
      </c>
      <c r="G20" s="129">
        <v>45657</v>
      </c>
      <c r="H20" s="126">
        <f>+Industrial!E29</f>
        <v>13004.216</v>
      </c>
      <c r="I20" s="57">
        <f>+Industrial!F29</f>
        <v>-3000</v>
      </c>
      <c r="J20" s="57">
        <f>+Industrial!G29</f>
        <v>10004.216</v>
      </c>
      <c r="K20" s="57">
        <f>+Industrial!H29</f>
        <v>0</v>
      </c>
      <c r="L20" s="57">
        <f>+Industrial!I29</f>
        <v>10004.216</v>
      </c>
      <c r="M20" s="17">
        <f>+Industrial!J29</f>
        <v>0</v>
      </c>
      <c r="N20" s="73" t="s">
        <v>64</v>
      </c>
      <c r="O20" s="50">
        <f>+Resumen!C$4</f>
        <v>45484</v>
      </c>
      <c r="P20" s="57">
        <v>2024</v>
      </c>
    </row>
    <row r="21" spans="1:16" s="57" customFormat="1">
      <c r="A21" s="126" t="s">
        <v>81</v>
      </c>
      <c r="B21" s="126" t="s">
        <v>81</v>
      </c>
      <c r="C21" s="126" t="s">
        <v>84</v>
      </c>
      <c r="D21" s="126" t="s">
        <v>83</v>
      </c>
      <c r="E21" s="126" t="str">
        <f>Industrial!C30</f>
        <v>THOR FISHERIES SPA</v>
      </c>
      <c r="F21" s="129">
        <v>45292</v>
      </c>
      <c r="G21" s="129">
        <v>45657</v>
      </c>
      <c r="H21" s="126">
        <f>Industrial!E30</f>
        <v>0</v>
      </c>
      <c r="I21" s="126">
        <f>Industrial!F30</f>
        <v>0.307</v>
      </c>
      <c r="J21" s="126">
        <f>Industrial!G30</f>
        <v>0.307</v>
      </c>
      <c r="K21" s="126">
        <f>Industrial!H30</f>
        <v>0</v>
      </c>
      <c r="L21" s="126">
        <f>Industrial!I30</f>
        <v>0.307</v>
      </c>
      <c r="M21" s="127">
        <f>Industrial!J30</f>
        <v>0</v>
      </c>
      <c r="N21" s="73" t="s">
        <v>64</v>
      </c>
      <c r="O21" s="50">
        <f>+Resumen!C$4</f>
        <v>45484</v>
      </c>
      <c r="P21" s="57">
        <v>2024</v>
      </c>
    </row>
    <row r="22" spans="1:16">
      <c r="A22" s="126" t="s">
        <v>81</v>
      </c>
      <c r="B22" s="126" t="s">
        <v>81</v>
      </c>
      <c r="C22" s="126" t="s">
        <v>84</v>
      </c>
      <c r="D22" s="126" t="s">
        <v>83</v>
      </c>
      <c r="E22" s="126" t="str">
        <f>+Industrial!C31</f>
        <v>PROCESOS TECNOLOGICOS DEL BIO BIO SpA</v>
      </c>
      <c r="F22" s="129">
        <v>45292</v>
      </c>
      <c r="G22" s="129">
        <v>45657</v>
      </c>
      <c r="H22" s="126">
        <f>+Industrial!E31</f>
        <v>351.34300000000002</v>
      </c>
      <c r="I22" s="57">
        <f>+Industrial!F31</f>
        <v>0</v>
      </c>
      <c r="J22" s="57">
        <f>+Industrial!G31</f>
        <v>351.34300000000002</v>
      </c>
      <c r="K22" s="57">
        <f>+Industrial!H31</f>
        <v>0</v>
      </c>
      <c r="L22" s="57">
        <f>+Industrial!I31</f>
        <v>351.34300000000002</v>
      </c>
      <c r="M22" s="17">
        <f>+Industrial!J31</f>
        <v>0</v>
      </c>
      <c r="N22" s="73" t="s">
        <v>64</v>
      </c>
      <c r="O22" s="50">
        <f>+Resumen!C$4</f>
        <v>45484</v>
      </c>
      <c r="P22" s="57">
        <v>2024</v>
      </c>
    </row>
    <row r="23" spans="1:16" s="57" customFormat="1">
      <c r="A23" s="126" t="s">
        <v>81</v>
      </c>
      <c r="B23" s="126" t="s">
        <v>81</v>
      </c>
      <c r="C23" s="126" t="s">
        <v>84</v>
      </c>
      <c r="D23" s="126" t="s">
        <v>83</v>
      </c>
      <c r="E23" s="126" t="str">
        <f>+Industrial!C32</f>
        <v>SIPESUR SPA</v>
      </c>
      <c r="F23" s="129">
        <v>45292</v>
      </c>
      <c r="G23" s="129">
        <v>45657</v>
      </c>
      <c r="H23" s="126">
        <f>+Industrial!E32</f>
        <v>296.71300000000002</v>
      </c>
      <c r="I23" s="57">
        <f>+Industrial!F32</f>
        <v>0</v>
      </c>
      <c r="J23" s="57">
        <f>+Industrial!G32</f>
        <v>296.71300000000002</v>
      </c>
      <c r="K23" s="57">
        <f>+Industrial!H32</f>
        <v>0</v>
      </c>
      <c r="L23" s="57">
        <f>+Industrial!I32</f>
        <v>296.71300000000002</v>
      </c>
      <c r="M23" s="17">
        <f>+Industrial!J32</f>
        <v>0</v>
      </c>
      <c r="N23" s="73" t="s">
        <v>64</v>
      </c>
      <c r="O23" s="50">
        <f>+Resumen!C$4</f>
        <v>45484</v>
      </c>
      <c r="P23" s="57">
        <v>2024</v>
      </c>
    </row>
    <row r="24" spans="1:16" s="130" customFormat="1">
      <c r="A24" s="134" t="s">
        <v>81</v>
      </c>
      <c r="B24" s="134" t="s">
        <v>81</v>
      </c>
      <c r="C24" s="134" t="s">
        <v>84</v>
      </c>
      <c r="D24" s="134" t="s">
        <v>83</v>
      </c>
      <c r="E24" s="134" t="s">
        <v>85</v>
      </c>
      <c r="F24" s="151">
        <v>45292</v>
      </c>
      <c r="G24" s="151">
        <v>45657</v>
      </c>
      <c r="H24" s="134">
        <f>+Industrial!K33</f>
        <v>30551.501</v>
      </c>
      <c r="I24" s="130">
        <f>+Industrial!L33</f>
        <v>-3000</v>
      </c>
      <c r="J24" s="130">
        <f>+Industrial!M33</f>
        <v>27551.501</v>
      </c>
      <c r="K24" s="130">
        <f>+Industrial!N33</f>
        <v>0</v>
      </c>
      <c r="L24" s="130">
        <f>+Industrial!O33</f>
        <v>27551.501</v>
      </c>
      <c r="M24" s="131">
        <f>+Industrial!P33</f>
        <v>0</v>
      </c>
      <c r="N24" s="132" t="s">
        <v>64</v>
      </c>
      <c r="O24" s="133">
        <f>+Resumen!C$4</f>
        <v>45484</v>
      </c>
      <c r="P24" s="57">
        <v>2024</v>
      </c>
    </row>
    <row r="25" spans="1:16">
      <c r="A25" s="126" t="s">
        <v>86</v>
      </c>
      <c r="B25" s="126" t="s">
        <v>86</v>
      </c>
      <c r="C25" s="126" t="s">
        <v>82</v>
      </c>
      <c r="D25" s="126" t="s">
        <v>83</v>
      </c>
      <c r="E25" s="126" t="str">
        <f>+Industrial!C34</f>
        <v xml:space="preserve">ARICA SEAFOOD PRODUCER S.A.  </v>
      </c>
      <c r="F25" s="129">
        <v>45292</v>
      </c>
      <c r="G25" s="129">
        <v>45657</v>
      </c>
      <c r="H25" s="126">
        <f>+Industrial!E34</f>
        <v>9.7617960000000004</v>
      </c>
      <c r="I25" s="57">
        <f>+Industrial!F34</f>
        <v>0</v>
      </c>
      <c r="J25" s="57">
        <f>+Industrial!G34</f>
        <v>9.7617960000000004</v>
      </c>
      <c r="K25" s="57">
        <f>+Industrial!H34</f>
        <v>0</v>
      </c>
      <c r="L25" s="57">
        <f>+Industrial!I34</f>
        <v>9.7617960000000004</v>
      </c>
      <c r="M25" s="17">
        <f>+Industrial!J34</f>
        <v>0</v>
      </c>
      <c r="N25" s="73" t="s">
        <v>64</v>
      </c>
      <c r="O25" s="50">
        <f>+Resumen!C$4</f>
        <v>45484</v>
      </c>
      <c r="P25" s="57">
        <v>2024</v>
      </c>
    </row>
    <row r="26" spans="1:16">
      <c r="A26" s="126" t="s">
        <v>86</v>
      </c>
      <c r="B26" s="126" t="s">
        <v>86</v>
      </c>
      <c r="C26" s="126" t="s">
        <v>82</v>
      </c>
      <c r="D26" s="126" t="s">
        <v>83</v>
      </c>
      <c r="E26" s="126" t="str">
        <f>+Industrial!C35</f>
        <v xml:space="preserve">CAMANCHACA S.A. CIA. PESQ      </v>
      </c>
      <c r="F26" s="129">
        <v>45292</v>
      </c>
      <c r="G26" s="129">
        <v>45657</v>
      </c>
      <c r="H26" s="126">
        <f>+Industrial!E35</f>
        <v>626.17638599999998</v>
      </c>
      <c r="I26" s="57">
        <f>+Industrial!F35</f>
        <v>-500</v>
      </c>
      <c r="J26" s="57">
        <f>+Industrial!G35</f>
        <v>126.17638599999998</v>
      </c>
      <c r="K26" s="57">
        <f>+Industrial!H35</f>
        <v>0</v>
      </c>
      <c r="L26" s="57">
        <f>+Industrial!I35</f>
        <v>126.17638599999998</v>
      </c>
      <c r="M26" s="17">
        <f>+Industrial!J35</f>
        <v>0</v>
      </c>
      <c r="N26" s="73" t="s">
        <v>64</v>
      </c>
      <c r="O26" s="50">
        <f>+Resumen!C$4</f>
        <v>45484</v>
      </c>
      <c r="P26" s="57">
        <v>2024</v>
      </c>
    </row>
    <row r="27" spans="1:16">
      <c r="A27" s="126" t="s">
        <v>86</v>
      </c>
      <c r="B27" s="126" t="s">
        <v>86</v>
      </c>
      <c r="C27" s="126" t="s">
        <v>82</v>
      </c>
      <c r="D27" s="126" t="s">
        <v>83</v>
      </c>
      <c r="E27" s="126" t="str">
        <f>+Industrial!C36</f>
        <v xml:space="preserve">CORPESCA S.A.                             </v>
      </c>
      <c r="F27" s="129">
        <v>45292</v>
      </c>
      <c r="G27" s="129">
        <v>45657</v>
      </c>
      <c r="H27" s="126">
        <f>+Industrial!E36</f>
        <v>2334.0618180000001</v>
      </c>
      <c r="I27" s="57">
        <f>+Industrial!F36</f>
        <v>-1600</v>
      </c>
      <c r="J27" s="57">
        <f>+Industrial!G36</f>
        <v>734.06181800000013</v>
      </c>
      <c r="K27" s="57">
        <f>+Industrial!H36</f>
        <v>0</v>
      </c>
      <c r="L27" s="57">
        <f>+Industrial!I36</f>
        <v>734.06181800000013</v>
      </c>
      <c r="M27" s="17">
        <f>+Industrial!J36</f>
        <v>0</v>
      </c>
      <c r="N27" s="73" t="s">
        <v>64</v>
      </c>
      <c r="O27" s="50">
        <f>+Resumen!C$4</f>
        <v>45484</v>
      </c>
      <c r="P27" s="57">
        <v>2024</v>
      </c>
    </row>
    <row r="28" spans="1:16" s="130" customFormat="1">
      <c r="A28" s="134" t="s">
        <v>86</v>
      </c>
      <c r="B28" s="134" t="s">
        <v>86</v>
      </c>
      <c r="C28" s="134" t="s">
        <v>82</v>
      </c>
      <c r="D28" s="134" t="s">
        <v>83</v>
      </c>
      <c r="E28" s="134" t="s">
        <v>85</v>
      </c>
      <c r="F28" s="151">
        <v>45292</v>
      </c>
      <c r="G28" s="151">
        <v>45657</v>
      </c>
      <c r="H28" s="136">
        <f>Industrial!E37</f>
        <v>2970</v>
      </c>
      <c r="I28" s="130">
        <f>+Industrial!L37</f>
        <v>-2100</v>
      </c>
      <c r="J28" s="130">
        <f>+Industrial!M37</f>
        <v>870.00000000000011</v>
      </c>
      <c r="K28" s="130">
        <f>+Industrial!N37</f>
        <v>0</v>
      </c>
      <c r="L28" s="130">
        <f>+Industrial!O37</f>
        <v>870.00000000000011</v>
      </c>
      <c r="M28" s="131">
        <f>+Industrial!P37</f>
        <v>0</v>
      </c>
      <c r="N28" s="132" t="s">
        <v>64</v>
      </c>
      <c r="O28" s="133">
        <f>+Resumen!C$4</f>
        <v>45484</v>
      </c>
      <c r="P28" s="57">
        <v>2024</v>
      </c>
    </row>
    <row r="29" spans="1:16">
      <c r="A29" s="126" t="s">
        <v>86</v>
      </c>
      <c r="B29" s="126" t="s">
        <v>86</v>
      </c>
      <c r="C29" s="126" t="s">
        <v>84</v>
      </c>
      <c r="D29" s="126" t="s">
        <v>83</v>
      </c>
      <c r="E29" s="126" t="str">
        <f>+Industrial!C38</f>
        <v xml:space="preserve">ALIMENTOS MARINOS S.A.          </v>
      </c>
      <c r="F29" s="129">
        <v>45292</v>
      </c>
      <c r="G29" s="129">
        <v>45657</v>
      </c>
      <c r="H29" s="126">
        <f>+Industrial!E38</f>
        <v>204.947</v>
      </c>
      <c r="I29" s="57">
        <f>+Industrial!F38</f>
        <v>0</v>
      </c>
      <c r="J29" s="57">
        <f>+Industrial!G38</f>
        <v>204.947</v>
      </c>
      <c r="K29" s="57">
        <f>+Industrial!H38</f>
        <v>0</v>
      </c>
      <c r="L29" s="57">
        <f>+Industrial!I38</f>
        <v>204.947</v>
      </c>
      <c r="M29" s="17">
        <f>+Industrial!J38</f>
        <v>0</v>
      </c>
      <c r="N29" s="73" t="s">
        <v>64</v>
      </c>
      <c r="O29" s="50">
        <f>+Resumen!C$4</f>
        <v>45484</v>
      </c>
      <c r="P29" s="57">
        <v>2024</v>
      </c>
    </row>
    <row r="30" spans="1:16">
      <c r="A30" s="126" t="s">
        <v>86</v>
      </c>
      <c r="B30" s="126" t="s">
        <v>86</v>
      </c>
      <c r="C30" s="126" t="s">
        <v>84</v>
      </c>
      <c r="D30" s="126" t="s">
        <v>83</v>
      </c>
      <c r="E30" s="126" t="str">
        <f>+Industrial!C39</f>
        <v xml:space="preserve">BAHIA CALDERA S.A. PESQ.          </v>
      </c>
      <c r="F30" s="129">
        <v>45292</v>
      </c>
      <c r="G30" s="129">
        <v>45657</v>
      </c>
      <c r="H30" s="126">
        <f>+Industrial!E39</f>
        <v>892.30700000000002</v>
      </c>
      <c r="I30" s="57">
        <f>+Industrial!F39</f>
        <v>-890</v>
      </c>
      <c r="J30" s="57">
        <f>+Industrial!G39</f>
        <v>2.3070000000000164</v>
      </c>
      <c r="K30" s="57">
        <f>+Industrial!H39</f>
        <v>0</v>
      </c>
      <c r="L30" s="57">
        <f>+Industrial!I39</f>
        <v>2.3070000000000164</v>
      </c>
      <c r="M30" s="17">
        <f>+Industrial!J39</f>
        <v>0</v>
      </c>
      <c r="N30" s="73" t="s">
        <v>64</v>
      </c>
      <c r="O30" s="50">
        <f>+Resumen!C$4</f>
        <v>45484</v>
      </c>
      <c r="P30" s="57">
        <v>2024</v>
      </c>
    </row>
    <row r="31" spans="1:16">
      <c r="A31" s="126" t="s">
        <v>86</v>
      </c>
      <c r="B31" s="126" t="s">
        <v>86</v>
      </c>
      <c r="C31" s="126" t="s">
        <v>84</v>
      </c>
      <c r="D31" s="126" t="s">
        <v>83</v>
      </c>
      <c r="E31" s="126" t="str">
        <f>+Industrial!C40</f>
        <v>FOODCORP CHILE S.A.</v>
      </c>
      <c r="F31" s="129">
        <v>45292</v>
      </c>
      <c r="G31" s="129">
        <v>45657</v>
      </c>
      <c r="H31" s="126">
        <f>+Industrial!E40</f>
        <v>0.15</v>
      </c>
      <c r="I31" s="57">
        <f>+Industrial!F40</f>
        <v>0</v>
      </c>
      <c r="J31" s="57">
        <f>+Industrial!G40</f>
        <v>0.15</v>
      </c>
      <c r="K31" s="57">
        <f>+Industrial!H40</f>
        <v>0</v>
      </c>
      <c r="L31" s="57">
        <f>+Industrial!I40</f>
        <v>0.15</v>
      </c>
      <c r="M31" s="17">
        <f>+Industrial!J40</f>
        <v>0</v>
      </c>
      <c r="N31" s="73" t="s">
        <v>64</v>
      </c>
      <c r="O31" s="50">
        <f>+Resumen!C$4</f>
        <v>45484</v>
      </c>
      <c r="P31" s="57">
        <v>2024</v>
      </c>
    </row>
    <row r="32" spans="1:16">
      <c r="A32" s="126" t="s">
        <v>86</v>
      </c>
      <c r="B32" s="126" t="s">
        <v>86</v>
      </c>
      <c r="C32" s="126" t="s">
        <v>84</v>
      </c>
      <c r="D32" s="126" t="s">
        <v>83</v>
      </c>
      <c r="E32" s="126" t="str">
        <f>+Industrial!C41</f>
        <v>BLUMAR S.A.</v>
      </c>
      <c r="F32" s="129">
        <v>45292</v>
      </c>
      <c r="G32" s="129">
        <v>45657</v>
      </c>
      <c r="H32" s="126">
        <f>+Industrial!E41</f>
        <v>5.7460000000000004</v>
      </c>
      <c r="I32" s="57">
        <f>+Industrial!F41</f>
        <v>0</v>
      </c>
      <c r="J32" s="57">
        <f>+Industrial!G41</f>
        <v>5.7460000000000004</v>
      </c>
      <c r="K32" s="57">
        <f>+Industrial!H41</f>
        <v>0</v>
      </c>
      <c r="L32" s="57">
        <f>+Industrial!I41</f>
        <v>5.7460000000000004</v>
      </c>
      <c r="M32" s="17">
        <f>+Industrial!J41</f>
        <v>0</v>
      </c>
      <c r="N32" s="73" t="s">
        <v>64</v>
      </c>
      <c r="O32" s="50">
        <f>+Resumen!C$4</f>
        <v>45484</v>
      </c>
      <c r="P32" s="57">
        <v>2024</v>
      </c>
    </row>
    <row r="33" spans="1:16">
      <c r="A33" s="126" t="s">
        <v>86</v>
      </c>
      <c r="B33" s="126" t="s">
        <v>86</v>
      </c>
      <c r="C33" s="126" t="s">
        <v>84</v>
      </c>
      <c r="D33" s="126" t="s">
        <v>83</v>
      </c>
      <c r="E33" s="126" t="str">
        <f>+Industrial!C42</f>
        <v>CAMANCHACA S.A.</v>
      </c>
      <c r="F33" s="129">
        <v>45292</v>
      </c>
      <c r="G33" s="129">
        <v>45657</v>
      </c>
      <c r="H33" s="126">
        <f>+Industrial!E42</f>
        <v>6.4950000000000001</v>
      </c>
      <c r="I33" s="57">
        <f>+Industrial!F42</f>
        <v>0</v>
      </c>
      <c r="J33" s="57">
        <f>+Industrial!G42</f>
        <v>6.4950000000000001</v>
      </c>
      <c r="K33" s="57">
        <f>+Industrial!H42</f>
        <v>0</v>
      </c>
      <c r="L33" s="57">
        <f>+Industrial!I42</f>
        <v>6.4950000000000001</v>
      </c>
      <c r="M33" s="17">
        <f>+Industrial!J42</f>
        <v>0</v>
      </c>
      <c r="N33" s="73" t="s">
        <v>64</v>
      </c>
      <c r="O33" s="50">
        <f>+Resumen!C$4</f>
        <v>45484</v>
      </c>
      <c r="P33" s="57">
        <v>2024</v>
      </c>
    </row>
    <row r="34" spans="1:16">
      <c r="A34" s="126" t="s">
        <v>86</v>
      </c>
      <c r="B34" s="126" t="s">
        <v>86</v>
      </c>
      <c r="C34" s="126" t="s">
        <v>84</v>
      </c>
      <c r="D34" s="126" t="s">
        <v>83</v>
      </c>
      <c r="E34" s="126" t="str">
        <f>+Industrial!C43</f>
        <v>SIPESUR SPA</v>
      </c>
      <c r="F34" s="129">
        <v>45292</v>
      </c>
      <c r="G34" s="129">
        <v>45657</v>
      </c>
      <c r="H34" s="126">
        <f>+Industrial!E43</f>
        <v>2.9769999999999999</v>
      </c>
      <c r="I34" s="57">
        <f>+Industrial!F43</f>
        <v>0</v>
      </c>
      <c r="J34" s="57">
        <f>+Industrial!G43</f>
        <v>2.9769999999999999</v>
      </c>
      <c r="K34" s="57">
        <f>+Industrial!H43</f>
        <v>0</v>
      </c>
      <c r="L34" s="57">
        <f>+Industrial!I43</f>
        <v>2.9769999999999999</v>
      </c>
      <c r="M34" s="17">
        <f>+Industrial!J43</f>
        <v>0</v>
      </c>
      <c r="N34" s="73" t="s">
        <v>64</v>
      </c>
      <c r="O34" s="50">
        <f>+Resumen!C$4</f>
        <v>45484</v>
      </c>
      <c r="P34" s="57">
        <v>2024</v>
      </c>
    </row>
    <row r="35" spans="1:16">
      <c r="A35" s="126" t="s">
        <v>86</v>
      </c>
      <c r="B35" s="126" t="s">
        <v>86</v>
      </c>
      <c r="C35" s="126" t="s">
        <v>84</v>
      </c>
      <c r="D35" s="126" t="s">
        <v>83</v>
      </c>
      <c r="E35" s="126" t="str">
        <f>+Industrial!C44</f>
        <v>ORIZON S.A.</v>
      </c>
      <c r="F35" s="129">
        <v>45292</v>
      </c>
      <c r="G35" s="129">
        <v>45657</v>
      </c>
      <c r="H35" s="126">
        <f>+Industrial!E44</f>
        <v>383.03</v>
      </c>
      <c r="I35" s="57">
        <f>+Industrial!F44</f>
        <v>-380</v>
      </c>
      <c r="J35" s="57">
        <f>+Industrial!G44</f>
        <v>3.0299999999999727</v>
      </c>
      <c r="K35" s="57">
        <f>+Industrial!H44</f>
        <v>0</v>
      </c>
      <c r="L35" s="57">
        <f>+Industrial!I44</f>
        <v>3.0299999999999727</v>
      </c>
      <c r="M35" s="17">
        <f>+Industrial!J44</f>
        <v>0</v>
      </c>
      <c r="N35" s="73" t="s">
        <v>64</v>
      </c>
      <c r="O35" s="50">
        <f>+Resumen!C$4</f>
        <v>45484</v>
      </c>
      <c r="P35" s="57">
        <v>2024</v>
      </c>
    </row>
    <row r="36" spans="1:16">
      <c r="A36" s="126" t="s">
        <v>86</v>
      </c>
      <c r="B36" s="126" t="s">
        <v>86</v>
      </c>
      <c r="C36" s="126" t="s">
        <v>84</v>
      </c>
      <c r="D36" s="126" t="s">
        <v>83</v>
      </c>
      <c r="E36" s="126" t="str">
        <f>+Industrial!C45</f>
        <v>CAMANCHACA PESCA SUR S.A.</v>
      </c>
      <c r="F36" s="129">
        <v>45292</v>
      </c>
      <c r="G36" s="129">
        <v>45657</v>
      </c>
      <c r="H36" s="126">
        <f>+Industrial!E45</f>
        <v>2.593</v>
      </c>
      <c r="I36" s="57">
        <f>+Industrial!F45</f>
        <v>0</v>
      </c>
      <c r="J36" s="57">
        <f>+Industrial!G45</f>
        <v>2.593</v>
      </c>
      <c r="K36" s="57">
        <f>+Industrial!H45</f>
        <v>0</v>
      </c>
      <c r="L36" s="57">
        <f>+Industrial!I45</f>
        <v>2.593</v>
      </c>
      <c r="M36" s="17">
        <f>+Industrial!J45</f>
        <v>0</v>
      </c>
      <c r="N36" s="73" t="s">
        <v>64</v>
      </c>
      <c r="O36" s="50">
        <f>+Resumen!C$4</f>
        <v>45484</v>
      </c>
      <c r="P36" s="57">
        <v>2024</v>
      </c>
    </row>
    <row r="37" spans="1:16" s="57" customFormat="1">
      <c r="A37" s="126" t="s">
        <v>86</v>
      </c>
      <c r="B37" s="126" t="s">
        <v>86</v>
      </c>
      <c r="C37" s="126" t="s">
        <v>84</v>
      </c>
      <c r="D37" s="126" t="s">
        <v>83</v>
      </c>
      <c r="E37" s="126" t="str">
        <f>+Industrial!C46</f>
        <v>THOR FISHERIES SPA</v>
      </c>
      <c r="F37" s="129">
        <v>45292</v>
      </c>
      <c r="G37" s="129">
        <v>45657</v>
      </c>
      <c r="H37" s="126">
        <f>+Industrial!E46</f>
        <v>0</v>
      </c>
      <c r="I37" s="57">
        <f>+Industrial!F46</f>
        <v>0.13500000000000001</v>
      </c>
      <c r="J37" s="57">
        <f>+Industrial!G46</f>
        <v>0.13500000000000001</v>
      </c>
      <c r="K37" s="57">
        <f>+Industrial!H46</f>
        <v>0</v>
      </c>
      <c r="L37" s="57">
        <f>+Industrial!I46</f>
        <v>0.13500000000000001</v>
      </c>
      <c r="M37" s="17">
        <f>+Industrial!J46</f>
        <v>0</v>
      </c>
      <c r="N37" s="73" t="s">
        <v>64</v>
      </c>
      <c r="O37" s="50">
        <f>+Resumen!C$4</f>
        <v>45484</v>
      </c>
      <c r="P37" s="57">
        <v>2024</v>
      </c>
    </row>
    <row r="38" spans="1:16" s="57" customFormat="1">
      <c r="A38" s="126" t="s">
        <v>86</v>
      </c>
      <c r="B38" s="126" t="s">
        <v>86</v>
      </c>
      <c r="C38" s="126" t="s">
        <v>84</v>
      </c>
      <c r="D38" s="126" t="s">
        <v>83</v>
      </c>
      <c r="E38" s="126" t="str">
        <f>+Industrial!C47</f>
        <v>LANDES S.A. SOC. PESQ.</v>
      </c>
      <c r="F38" s="129">
        <v>45292</v>
      </c>
      <c r="G38" s="129">
        <v>45657</v>
      </c>
      <c r="H38" s="126">
        <f>+Industrial!E47</f>
        <v>1.7549999999999999</v>
      </c>
      <c r="I38" s="57">
        <f>+Industrial!F47</f>
        <v>-0.13500000000000001</v>
      </c>
      <c r="J38" s="57">
        <f>+Industrial!G47</f>
        <v>1.6199999999999999</v>
      </c>
      <c r="K38" s="57">
        <f>+Industrial!H47</f>
        <v>0</v>
      </c>
      <c r="L38" s="57">
        <f>+Industrial!I47</f>
        <v>1.6199999999999999</v>
      </c>
      <c r="M38" s="17">
        <f>+Industrial!J47</f>
        <v>0</v>
      </c>
      <c r="N38" s="73" t="s">
        <v>64</v>
      </c>
      <c r="O38" s="50">
        <f>+Resumen!C$4</f>
        <v>45484</v>
      </c>
      <c r="P38" s="57">
        <v>2024</v>
      </c>
    </row>
    <row r="39" spans="1:16" s="134" customFormat="1">
      <c r="A39" s="134" t="s">
        <v>86</v>
      </c>
      <c r="B39" s="134" t="s">
        <v>86</v>
      </c>
      <c r="C39" s="134" t="s">
        <v>84</v>
      </c>
      <c r="D39" s="134" t="s">
        <v>83</v>
      </c>
      <c r="E39" s="134" t="s">
        <v>85</v>
      </c>
      <c r="F39" s="151">
        <v>45292</v>
      </c>
      <c r="G39" s="151">
        <v>45657</v>
      </c>
      <c r="H39" s="134">
        <f>+Industrial!K48</f>
        <v>1500.0000000000002</v>
      </c>
      <c r="I39" s="134">
        <f>+Industrial!L48</f>
        <v>-1270</v>
      </c>
      <c r="J39" s="134">
        <f>+Industrial!M48</f>
        <v>230</v>
      </c>
      <c r="K39" s="134">
        <f>+Industrial!N48</f>
        <v>0</v>
      </c>
      <c r="L39" s="134">
        <f>+Industrial!O48</f>
        <v>230</v>
      </c>
      <c r="M39" s="149">
        <f>+Industrial!P48</f>
        <v>0</v>
      </c>
      <c r="N39" s="150" t="s">
        <v>64</v>
      </c>
      <c r="O39" s="151">
        <f>+Resumen!C$4</f>
        <v>45484</v>
      </c>
      <c r="P39" s="57">
        <v>2024</v>
      </c>
    </row>
    <row r="40" spans="1:16" ht="16.5" customHeight="1">
      <c r="A40" s="126" t="s">
        <v>81</v>
      </c>
      <c r="B40" s="126" t="s">
        <v>81</v>
      </c>
      <c r="C40" s="126" t="s">
        <v>87</v>
      </c>
      <c r="D40" s="126" t="s">
        <v>93</v>
      </c>
      <c r="E40" s="126" t="str">
        <f>+'Artesanal Anchoveta XV-IV'!D7</f>
        <v>MACROZONA XV - I</v>
      </c>
      <c r="F40" s="129">
        <v>45292</v>
      </c>
      <c r="G40" s="129">
        <v>45657</v>
      </c>
      <c r="H40" s="126">
        <f>+'Artesanal Anchoveta XV-IV'!F7</f>
        <v>73151</v>
      </c>
      <c r="I40" s="57">
        <f>+'Artesanal Anchoveta XV-IV'!G7</f>
        <v>0</v>
      </c>
      <c r="J40" s="57">
        <f>+'Artesanal Anchoveta XV-IV'!H7</f>
        <v>73151</v>
      </c>
      <c r="K40" s="57">
        <f>+'Artesanal Anchoveta XV-IV'!I7</f>
        <v>66932</v>
      </c>
      <c r="L40" s="57">
        <f>+'Artesanal Anchoveta XV-IV'!K7</f>
        <v>6219</v>
      </c>
      <c r="M40" s="17">
        <f>+'Artesanal Anchoveta XV-IV'!L7</f>
        <v>0.91498407403863247</v>
      </c>
      <c r="N40" s="73" t="s">
        <v>64</v>
      </c>
      <c r="O40" s="50">
        <f>+Resumen!C$4</f>
        <v>45484</v>
      </c>
      <c r="P40" s="57">
        <v>2024</v>
      </c>
    </row>
    <row r="41" spans="1:16" s="134" customFormat="1">
      <c r="A41" s="134" t="s">
        <v>81</v>
      </c>
      <c r="B41" s="134" t="s">
        <v>81</v>
      </c>
      <c r="C41" s="134" t="s">
        <v>87</v>
      </c>
      <c r="D41" s="134" t="s">
        <v>93</v>
      </c>
      <c r="E41" s="134" t="s">
        <v>95</v>
      </c>
      <c r="F41" s="151">
        <v>45292</v>
      </c>
      <c r="G41" s="151">
        <v>45657</v>
      </c>
      <c r="H41" s="134">
        <f>Resumen!E9</f>
        <v>73151</v>
      </c>
      <c r="I41" s="134">
        <f>Resumen!F9</f>
        <v>0</v>
      </c>
      <c r="J41" s="134">
        <f>Resumen!G9</f>
        <v>73151</v>
      </c>
      <c r="K41" s="134">
        <f>Resumen!H9</f>
        <v>66932</v>
      </c>
      <c r="L41" s="134">
        <f>Resumen!I9</f>
        <v>6219</v>
      </c>
      <c r="M41" s="149">
        <f>Resumen!J9</f>
        <v>0.91498407403863247</v>
      </c>
      <c r="N41" s="150" t="s">
        <v>64</v>
      </c>
      <c r="O41" s="151">
        <f>+Resumen!C$4</f>
        <v>45484</v>
      </c>
      <c r="P41" s="57">
        <v>2024</v>
      </c>
    </row>
    <row r="42" spans="1:16">
      <c r="A42" s="126" t="s">
        <v>81</v>
      </c>
      <c r="B42" s="126" t="s">
        <v>81</v>
      </c>
      <c r="C42" s="126" t="s">
        <v>10</v>
      </c>
      <c r="D42" s="126" t="s">
        <v>93</v>
      </c>
      <c r="E42" s="126" t="str">
        <f>+'Artesanal Anchoveta XV-IV'!D8</f>
        <v>REGIÓN II</v>
      </c>
      <c r="F42" s="129">
        <v>45292</v>
      </c>
      <c r="G42" s="129">
        <v>45657</v>
      </c>
      <c r="H42" s="126">
        <f>+'Artesanal Anchoveta XV-IV'!F8</f>
        <v>27707</v>
      </c>
      <c r="I42" s="57">
        <f>+'Artesanal Anchoveta XV-IV'!G8</f>
        <v>0</v>
      </c>
      <c r="J42" s="57">
        <f>+'Artesanal Anchoveta XV-IV'!H8</f>
        <v>27707</v>
      </c>
      <c r="K42" s="57">
        <f>+'Artesanal Anchoveta XV-IV'!I8</f>
        <v>0.1</v>
      </c>
      <c r="L42" s="57">
        <f>+'Artesanal Anchoveta XV-IV'!K8</f>
        <v>27706.9</v>
      </c>
      <c r="M42" s="17">
        <f>+'Artesanal Anchoveta XV-IV'!L8</f>
        <v>3.6091962319991339E-6</v>
      </c>
      <c r="N42" s="73" t="str">
        <f>'Artesanal Anchoveta XV-IV'!M8</f>
        <v>-</v>
      </c>
      <c r="O42" s="50">
        <f>+Resumen!C$4</f>
        <v>45484</v>
      </c>
      <c r="P42" s="57">
        <v>2024</v>
      </c>
    </row>
    <row r="43" spans="1:16" s="134" customFormat="1">
      <c r="A43" s="134" t="s">
        <v>81</v>
      </c>
      <c r="B43" s="134" t="s">
        <v>81</v>
      </c>
      <c r="C43" s="134" t="s">
        <v>10</v>
      </c>
      <c r="D43" s="134" t="s">
        <v>93</v>
      </c>
      <c r="E43" s="134" t="s">
        <v>96</v>
      </c>
      <c r="F43" s="151">
        <v>45292</v>
      </c>
      <c r="G43" s="151">
        <v>45657</v>
      </c>
      <c r="H43" s="134">
        <f>+'Artesanal Anchoveta XV-IV'!N8</f>
        <v>27707</v>
      </c>
      <c r="I43" s="134">
        <f>+'Artesanal Anchoveta XV-IV'!O8</f>
        <v>0</v>
      </c>
      <c r="J43" s="134">
        <f>+'Artesanal Anchoveta XV-IV'!P8</f>
        <v>27707</v>
      </c>
      <c r="K43" s="134">
        <f>+'Artesanal Anchoveta XV-IV'!Q8</f>
        <v>0.1</v>
      </c>
      <c r="L43" s="134">
        <f>+'Artesanal Anchoveta XV-IV'!R8</f>
        <v>27706.9</v>
      </c>
      <c r="M43" s="149">
        <f>+'Artesanal Anchoveta XV-IV'!S8</f>
        <v>3.6091962319991339E-6</v>
      </c>
      <c r="N43" s="150" t="s">
        <v>64</v>
      </c>
      <c r="O43" s="151">
        <f>+Resumen!C$4</f>
        <v>45484</v>
      </c>
      <c r="P43" s="57">
        <v>2024</v>
      </c>
    </row>
    <row r="44" spans="1:16" s="134" customFormat="1">
      <c r="A44" s="134" t="s">
        <v>81</v>
      </c>
      <c r="B44" s="134" t="s">
        <v>81</v>
      </c>
      <c r="C44" s="134" t="s">
        <v>15</v>
      </c>
      <c r="D44" s="134" t="s">
        <v>93</v>
      </c>
      <c r="E44" s="134" t="s">
        <v>142</v>
      </c>
      <c r="F44" s="151">
        <v>45292</v>
      </c>
      <c r="G44" s="151">
        <v>45657</v>
      </c>
      <c r="H44" s="134">
        <f>+'Artesanal Anchoveta XV-IV'!F9</f>
        <v>1000</v>
      </c>
      <c r="I44" s="134">
        <f>+'Artesanal Anchoveta XV-IV'!G9</f>
        <v>0</v>
      </c>
      <c r="J44" s="134">
        <f>+'Artesanal Anchoveta XV-IV'!H9</f>
        <v>1000</v>
      </c>
      <c r="K44" s="134">
        <f>+'Artesanal Anchoveta XV-IV'!I9</f>
        <v>0</v>
      </c>
      <c r="L44" s="134">
        <f>+'Artesanal Anchoveta XV-IV'!K9</f>
        <v>1000</v>
      </c>
      <c r="M44" s="149">
        <f>+'Artesanal Anchoveta XV-IV'!L9</f>
        <v>0</v>
      </c>
      <c r="N44" s="150" t="str">
        <f>'Artesanal Anchoveta XV-IV'!M9</f>
        <v>-</v>
      </c>
      <c r="O44" s="151">
        <f>+Resumen!C$4</f>
        <v>45484</v>
      </c>
      <c r="P44" s="57">
        <v>2024</v>
      </c>
    </row>
    <row r="45" spans="1:16">
      <c r="A45" s="126" t="s">
        <v>81</v>
      </c>
      <c r="B45" s="126" t="s">
        <v>81</v>
      </c>
      <c r="C45" s="126" t="s">
        <v>11</v>
      </c>
      <c r="D45" s="126" t="s">
        <v>93</v>
      </c>
      <c r="E45" s="126" t="str">
        <f>+'Artesanal Anchoveta XV-IV'!D10</f>
        <v>REGIÓN III</v>
      </c>
      <c r="F45" s="129">
        <v>45292</v>
      </c>
      <c r="G45" s="129">
        <v>45657</v>
      </c>
      <c r="H45" s="126">
        <f>+'Artesanal Anchoveta XV-IV'!F10</f>
        <v>21036</v>
      </c>
      <c r="I45" s="57">
        <f>+'Artesanal Anchoveta XV-IV'!G10</f>
        <v>0</v>
      </c>
      <c r="J45" s="57">
        <f>+'Artesanal Anchoveta XV-IV'!H10</f>
        <v>21036</v>
      </c>
      <c r="K45" s="57">
        <f>+'Artesanal Anchoveta XV-IV'!I10</f>
        <v>0</v>
      </c>
      <c r="L45" s="57">
        <f>+'Artesanal Anchoveta XV-IV'!K10</f>
        <v>21036</v>
      </c>
      <c r="M45" s="17">
        <f>+'Artesanal Anchoveta XV-IV'!L10</f>
        <v>0</v>
      </c>
      <c r="N45" s="73" t="s">
        <v>64</v>
      </c>
      <c r="O45" s="50">
        <f>+Resumen!C$4</f>
        <v>45484</v>
      </c>
      <c r="P45" s="57">
        <v>2024</v>
      </c>
    </row>
    <row r="46" spans="1:16" s="134" customFormat="1">
      <c r="A46" s="134" t="s">
        <v>81</v>
      </c>
      <c r="B46" s="134" t="s">
        <v>81</v>
      </c>
      <c r="C46" s="134" t="s">
        <v>11</v>
      </c>
      <c r="D46" s="134" t="s">
        <v>93</v>
      </c>
      <c r="E46" s="134" t="s">
        <v>96</v>
      </c>
      <c r="F46" s="151">
        <v>45292</v>
      </c>
      <c r="G46" s="151">
        <v>45657</v>
      </c>
      <c r="H46" s="134">
        <f>+'Artesanal Anchoveta XV-IV'!N10</f>
        <v>21036</v>
      </c>
      <c r="I46" s="134">
        <f>+'Artesanal Anchoveta XV-IV'!O10</f>
        <v>0</v>
      </c>
      <c r="J46" s="134">
        <f>+'Artesanal Anchoveta XV-IV'!P10</f>
        <v>21036</v>
      </c>
      <c r="K46" s="134">
        <f>+'Artesanal Anchoveta XV-IV'!Q10</f>
        <v>0</v>
      </c>
      <c r="L46" s="134">
        <f>+'Artesanal Anchoveta XV-IV'!R10</f>
        <v>21036</v>
      </c>
      <c r="M46" s="149">
        <f>+'Artesanal Anchoveta XV-IV'!S10</f>
        <v>0</v>
      </c>
      <c r="N46" s="150" t="s">
        <v>64</v>
      </c>
      <c r="O46" s="151">
        <f>+Resumen!C$4</f>
        <v>45484</v>
      </c>
      <c r="P46" s="57">
        <v>2024</v>
      </c>
    </row>
    <row r="47" spans="1:16">
      <c r="A47" s="126" t="s">
        <v>81</v>
      </c>
      <c r="B47" s="126" t="s">
        <v>81</v>
      </c>
      <c r="C47" s="126" t="s">
        <v>12</v>
      </c>
      <c r="D47" s="126" t="s">
        <v>94</v>
      </c>
      <c r="E47" s="126" t="str">
        <f>+'Artesanal Anchoveta XV-IV'!D11</f>
        <v>AG de Coquimbo RAG 55-4</v>
      </c>
      <c r="F47" s="129">
        <v>45292</v>
      </c>
      <c r="G47" s="129">
        <v>45657</v>
      </c>
      <c r="H47" s="126">
        <f>+'Artesanal Anchoveta XV-IV'!F11</f>
        <v>293.78699999999998</v>
      </c>
      <c r="I47" s="57">
        <f>+'Artesanal Anchoveta XV-IV'!G11</f>
        <v>0</v>
      </c>
      <c r="J47" s="57">
        <f>+'Artesanal Anchoveta XV-IV'!H11</f>
        <v>293.78699999999998</v>
      </c>
      <c r="K47" s="57">
        <f>+'Artesanal Anchoveta XV-IV'!I11</f>
        <v>0</v>
      </c>
      <c r="L47" s="57">
        <f>+'Artesanal Anchoveta XV-IV'!K11</f>
        <v>293.78699999999998</v>
      </c>
      <c r="M47" s="17">
        <f>+'Artesanal Anchoveta XV-IV'!L11</f>
        <v>0</v>
      </c>
      <c r="N47" s="73" t="s">
        <v>64</v>
      </c>
      <c r="O47" s="50">
        <f>+Resumen!C$4</f>
        <v>45484</v>
      </c>
      <c r="P47" s="57">
        <v>2024</v>
      </c>
    </row>
    <row r="48" spans="1:16" s="57" customFormat="1">
      <c r="A48" s="126" t="s">
        <v>81</v>
      </c>
      <c r="B48" s="126" t="s">
        <v>81</v>
      </c>
      <c r="C48" s="126" t="s">
        <v>12</v>
      </c>
      <c r="D48" s="126" t="s">
        <v>94</v>
      </c>
      <c r="E48" s="126" t="str">
        <f>+'Artesanal Anchoveta XV-IV'!D12</f>
        <v>CERCOPESCA Rol 4276</v>
      </c>
      <c r="F48" s="129">
        <v>45292</v>
      </c>
      <c r="G48" s="129">
        <v>45657</v>
      </c>
      <c r="H48" s="126">
        <f>+'Artesanal Anchoveta XV-IV'!F12</f>
        <v>7985.9570000000003</v>
      </c>
      <c r="I48" s="57">
        <f>+'Artesanal Anchoveta XV-IV'!G12</f>
        <v>0</v>
      </c>
      <c r="J48" s="57">
        <f>+'Artesanal Anchoveta XV-IV'!H12</f>
        <v>7985.9570000000003</v>
      </c>
      <c r="K48" s="57">
        <f>+'Artesanal Anchoveta XV-IV'!I12</f>
        <v>0</v>
      </c>
      <c r="L48" s="57">
        <f>+'Artesanal Anchoveta XV-IV'!K12</f>
        <v>7985.9570000000003</v>
      </c>
      <c r="M48" s="17">
        <f>+'Artesanal Anchoveta XV-IV'!L12</f>
        <v>0</v>
      </c>
      <c r="N48" s="73" t="s">
        <v>64</v>
      </c>
      <c r="O48" s="50">
        <f>+Resumen!C$4</f>
        <v>45484</v>
      </c>
      <c r="P48" s="57">
        <v>2024</v>
      </c>
    </row>
    <row r="49" spans="1:16" s="57" customFormat="1">
      <c r="A49" s="126" t="s">
        <v>81</v>
      </c>
      <c r="B49" s="126" t="s">
        <v>81</v>
      </c>
      <c r="C49" s="126" t="s">
        <v>12</v>
      </c>
      <c r="D49" s="126" t="s">
        <v>94</v>
      </c>
      <c r="E49" s="126" t="str">
        <f>+'Artesanal Anchoveta XV-IV'!D13</f>
        <v>STI de Coquimbo RSU 04.04.0472</v>
      </c>
      <c r="F49" s="129">
        <v>45292</v>
      </c>
      <c r="G49" s="129">
        <v>45657</v>
      </c>
      <c r="H49" s="126">
        <f>+'Artesanal Anchoveta XV-IV'!F13</f>
        <v>49.655999999999999</v>
      </c>
      <c r="I49" s="126">
        <f>+'Artesanal Anchoveta XV-IV'!G13</f>
        <v>0</v>
      </c>
      <c r="J49" s="126">
        <f>+'Artesanal Anchoveta XV-IV'!H13</f>
        <v>49.655999999999999</v>
      </c>
      <c r="K49" s="57">
        <f>+'Artesanal Anchoveta XV-IV'!I13</f>
        <v>0</v>
      </c>
      <c r="L49" s="57">
        <f>+'Artesanal Anchoveta XV-IV'!K13</f>
        <v>49.655999999999999</v>
      </c>
      <c r="M49" s="17">
        <f>+'Artesanal Anchoveta XV-IV'!L13</f>
        <v>0</v>
      </c>
      <c r="N49" s="73"/>
      <c r="O49" s="50">
        <f>+Resumen!C$4</f>
        <v>45484</v>
      </c>
      <c r="P49" s="57">
        <v>2024</v>
      </c>
    </row>
    <row r="50" spans="1:16" s="57" customFormat="1">
      <c r="A50" s="126" t="s">
        <v>81</v>
      </c>
      <c r="B50" s="126" t="s">
        <v>81</v>
      </c>
      <c r="C50" s="126" t="s">
        <v>12</v>
      </c>
      <c r="D50" s="126" t="s">
        <v>94</v>
      </c>
      <c r="E50" s="126" t="str">
        <f>'Artesanal Anchoveta XV-IV'!D14</f>
        <v>CUOTA RESIDUAL</v>
      </c>
      <c r="F50" s="129">
        <v>45292</v>
      </c>
      <c r="G50" s="129">
        <v>45657</v>
      </c>
      <c r="H50" s="126">
        <f>'Artesanal Anchoveta XV-IV'!F14</f>
        <v>686.1</v>
      </c>
      <c r="I50" s="57">
        <f>'Artesanal Anchoveta XV-IV'!G14</f>
        <v>0</v>
      </c>
      <c r="J50" s="57">
        <f>+'Artesanal Anchoveta XV-IV'!H14</f>
        <v>686.1</v>
      </c>
      <c r="K50" s="57">
        <f>+'Artesanal Anchoveta XV-IV'!I14</f>
        <v>0</v>
      </c>
      <c r="L50" s="57">
        <f>+'Artesanal Anchoveta XV-IV'!K14</f>
        <v>686.1</v>
      </c>
      <c r="M50" s="17">
        <f>+'Artesanal Anchoveta XV-IV'!L14</f>
        <v>0</v>
      </c>
      <c r="N50" s="73" t="s">
        <v>64</v>
      </c>
      <c r="O50" s="50">
        <f>+Resumen!C$4</f>
        <v>45484</v>
      </c>
      <c r="P50" s="57">
        <v>2024</v>
      </c>
    </row>
    <row r="51" spans="1:16" s="126" customFormat="1">
      <c r="A51" s="126" t="s">
        <v>81</v>
      </c>
      <c r="B51" s="126" t="s">
        <v>81</v>
      </c>
      <c r="C51" s="126" t="s">
        <v>12</v>
      </c>
      <c r="D51" s="126" t="s">
        <v>94</v>
      </c>
      <c r="E51" s="126" t="s">
        <v>143</v>
      </c>
      <c r="F51" s="129">
        <v>45292</v>
      </c>
      <c r="G51" s="129">
        <v>45657</v>
      </c>
      <c r="H51" s="126">
        <f>'Artesanal Anchoveta XV-IV'!F15</f>
        <v>500</v>
      </c>
      <c r="I51" s="126">
        <f>'Artesanal Anchoveta XV-IV'!G15</f>
        <v>0</v>
      </c>
      <c r="J51" s="126">
        <f>+'Artesanal Anchoveta XV-IV'!H15</f>
        <v>500</v>
      </c>
      <c r="K51" s="126">
        <f>+'Artesanal Anchoveta XV-IV'!I15</f>
        <v>0</v>
      </c>
      <c r="L51" s="126">
        <f>+'Artesanal Anchoveta XV-IV'!K15</f>
        <v>500</v>
      </c>
      <c r="M51" s="127">
        <f>+'Artesanal Anchoveta XV-IV'!L15</f>
        <v>0</v>
      </c>
      <c r="N51" s="128" t="s">
        <v>64</v>
      </c>
      <c r="O51" s="129">
        <f>+Resumen!C$4</f>
        <v>45484</v>
      </c>
      <c r="P51" s="57">
        <v>2024</v>
      </c>
    </row>
    <row r="52" spans="1:16" s="134" customFormat="1">
      <c r="A52" s="134" t="s">
        <v>81</v>
      </c>
      <c r="B52" s="134" t="s">
        <v>81</v>
      </c>
      <c r="C52" s="134" t="s">
        <v>12</v>
      </c>
      <c r="D52" s="134" t="s">
        <v>94</v>
      </c>
      <c r="E52" s="134" t="s">
        <v>96</v>
      </c>
      <c r="F52" s="151">
        <v>45292</v>
      </c>
      <c r="G52" s="151">
        <v>45657</v>
      </c>
      <c r="H52" s="134">
        <f>+Resumen!E15</f>
        <v>9015.5000000000018</v>
      </c>
      <c r="I52" s="134">
        <f>+Resumen!F15</f>
        <v>0</v>
      </c>
      <c r="J52" s="134">
        <f>+Resumen!G15</f>
        <v>8965.844000000001</v>
      </c>
      <c r="K52" s="134">
        <f>+Resumen!H15</f>
        <v>0</v>
      </c>
      <c r="L52" s="134">
        <f>+Resumen!I15</f>
        <v>8965.844000000001</v>
      </c>
      <c r="M52" s="149">
        <f>+Resumen!J15</f>
        <v>0</v>
      </c>
      <c r="N52" s="150" t="s">
        <v>64</v>
      </c>
      <c r="O52" s="151">
        <f>+Resumen!C$4</f>
        <v>45484</v>
      </c>
      <c r="P52" s="57">
        <v>2024</v>
      </c>
    </row>
    <row r="53" spans="1:16">
      <c r="A53" s="126" t="s">
        <v>86</v>
      </c>
      <c r="B53" s="126" t="s">
        <v>86</v>
      </c>
      <c r="C53" s="126" t="s">
        <v>87</v>
      </c>
      <c r="D53" s="126" t="s">
        <v>88</v>
      </c>
      <c r="E53" s="126" t="str">
        <f>+'Artesanal S.española XV-IV'!D7</f>
        <v>MACROZONA XV - I</v>
      </c>
      <c r="F53" s="129">
        <v>45292</v>
      </c>
      <c r="G53" s="129">
        <v>45657</v>
      </c>
      <c r="H53" s="126">
        <f>+'Artesanal S.española XV-IV'!F7</f>
        <v>1323</v>
      </c>
      <c r="I53" s="57">
        <f>+'Artesanal S.española XV-IV'!G7</f>
        <v>0</v>
      </c>
      <c r="J53" s="57">
        <f>+'Artesanal S.española XV-IV'!H7</f>
        <v>1323</v>
      </c>
      <c r="K53" s="57">
        <f>+'Artesanal S.española XV-IV'!I7</f>
        <v>1155.4359999999999</v>
      </c>
      <c r="L53" s="57">
        <f>+'Artesanal S.española XV-IV'!J7</f>
        <v>167.56400000000008</v>
      </c>
      <c r="M53" s="17">
        <f>+'Artesanal S.española XV-IV'!K7</f>
        <v>0.87334542705971274</v>
      </c>
      <c r="N53" s="73" t="s">
        <v>64</v>
      </c>
      <c r="O53" s="50">
        <f>+Resumen!C$4</f>
        <v>45484</v>
      </c>
      <c r="P53" s="57">
        <v>2024</v>
      </c>
    </row>
    <row r="54" spans="1:16" s="134" customFormat="1">
      <c r="A54" s="134" t="s">
        <v>86</v>
      </c>
      <c r="B54" s="134" t="s">
        <v>86</v>
      </c>
      <c r="C54" s="134" t="s">
        <v>87</v>
      </c>
      <c r="D54" s="134" t="s">
        <v>88</v>
      </c>
      <c r="E54" s="134" t="s">
        <v>95</v>
      </c>
      <c r="F54" s="151">
        <v>45292</v>
      </c>
      <c r="G54" s="151">
        <v>45657</v>
      </c>
      <c r="H54" s="134">
        <f>+'Artesanal S.española XV-IV'!M7</f>
        <v>1323</v>
      </c>
      <c r="I54" s="134">
        <f>+'Artesanal S.española XV-IV'!N7</f>
        <v>0</v>
      </c>
      <c r="J54" s="134">
        <f>+'Artesanal S.española XV-IV'!O7</f>
        <v>1323</v>
      </c>
      <c r="K54" s="134">
        <f>+'Artesanal S.española XV-IV'!P7</f>
        <v>1155.4359999999999</v>
      </c>
      <c r="L54" s="134">
        <f>+'Artesanal S.española XV-IV'!Q7</f>
        <v>167.56400000000008</v>
      </c>
      <c r="M54" s="149">
        <f>+'Artesanal S.española XV-IV'!R7</f>
        <v>0.87334542705971274</v>
      </c>
      <c r="N54" s="150" t="s">
        <v>64</v>
      </c>
      <c r="O54" s="151">
        <f>+Resumen!C$4</f>
        <v>45484</v>
      </c>
      <c r="P54" s="57">
        <v>2024</v>
      </c>
    </row>
    <row r="55" spans="1:16" s="126" customFormat="1">
      <c r="A55" s="126" t="s">
        <v>86</v>
      </c>
      <c r="B55" s="126" t="s">
        <v>86</v>
      </c>
      <c r="C55" s="126" t="s">
        <v>10</v>
      </c>
      <c r="D55" s="126" t="s">
        <v>93</v>
      </c>
      <c r="E55" s="126" t="str">
        <f>+'Artesanal S.española XV-IV'!D8</f>
        <v>REGIÓN II</v>
      </c>
      <c r="F55" s="129">
        <v>45292</v>
      </c>
      <c r="G55" s="129">
        <v>45657</v>
      </c>
      <c r="H55" s="126">
        <f>+'Artesanal S.española XV-IV'!F8</f>
        <v>5007</v>
      </c>
      <c r="I55" s="126">
        <f>+'Artesanal S.española XV-IV'!G8</f>
        <v>0</v>
      </c>
      <c r="J55" s="126">
        <f>+'Artesanal S.española XV-IV'!H8</f>
        <v>5007</v>
      </c>
      <c r="K55" s="126">
        <f>+'Artesanal S.española XV-IV'!I8</f>
        <v>4992.4210000000003</v>
      </c>
      <c r="L55" s="126">
        <f>+'Artesanal S.española XV-IV'!J8</f>
        <v>14.578999999999724</v>
      </c>
      <c r="M55" s="127">
        <f>+'Artesanal S.española XV-IV'!K8</f>
        <v>0.99708827641302178</v>
      </c>
      <c r="N55" s="128">
        <f>'Artesanal S.española XV-IV'!L8</f>
        <v>45425</v>
      </c>
      <c r="O55" s="129">
        <f>+Resumen!C$4</f>
        <v>45484</v>
      </c>
      <c r="P55" s="57">
        <v>2024</v>
      </c>
    </row>
    <row r="56" spans="1:16" s="134" customFormat="1">
      <c r="A56" s="134" t="s">
        <v>86</v>
      </c>
      <c r="B56" s="134" t="s">
        <v>86</v>
      </c>
      <c r="C56" s="134" t="s">
        <v>10</v>
      </c>
      <c r="D56" s="134" t="s">
        <v>93</v>
      </c>
      <c r="E56" s="134" t="s">
        <v>95</v>
      </c>
      <c r="F56" s="151">
        <v>45292</v>
      </c>
      <c r="G56" s="151">
        <v>45657</v>
      </c>
      <c r="H56" s="134">
        <f>+'Artesanal S.española XV-IV'!M8</f>
        <v>5007</v>
      </c>
      <c r="I56" s="134">
        <f>+'Artesanal S.española XV-IV'!N8</f>
        <v>0</v>
      </c>
      <c r="J56" s="134">
        <f>+'Artesanal S.española XV-IV'!O8</f>
        <v>5007</v>
      </c>
      <c r="K56" s="134">
        <f>+'Artesanal S.española XV-IV'!P8</f>
        <v>4992.4210000000003</v>
      </c>
      <c r="L56" s="134">
        <f>+'Artesanal S.española XV-IV'!Q8</f>
        <v>14.578999999999724</v>
      </c>
      <c r="M56" s="149">
        <f>+'Artesanal S.española XV-IV'!R8</f>
        <v>0.99708827641302178</v>
      </c>
      <c r="N56" s="150" t="s">
        <v>64</v>
      </c>
      <c r="O56" s="151">
        <f>+Resumen!C$4</f>
        <v>45484</v>
      </c>
      <c r="P56" s="57">
        <v>2024</v>
      </c>
    </row>
    <row r="57" spans="1:16" s="134" customFormat="1">
      <c r="A57" s="134" t="s">
        <v>86</v>
      </c>
      <c r="B57" s="134" t="s">
        <v>86</v>
      </c>
      <c r="C57" s="134" t="s">
        <v>15</v>
      </c>
      <c r="D57" s="134" t="s">
        <v>93</v>
      </c>
      <c r="E57" s="134" t="s">
        <v>142</v>
      </c>
      <c r="F57" s="129">
        <v>45292</v>
      </c>
      <c r="G57" s="129">
        <v>45657</v>
      </c>
      <c r="H57" s="126">
        <f>+'Artesanal S.española XV-IV'!F9</f>
        <v>700</v>
      </c>
      <c r="I57" s="126">
        <f>+'Artesanal S.española XV-IV'!G9</f>
        <v>0</v>
      </c>
      <c r="J57" s="126">
        <f>+'Artesanal S.española XV-IV'!H9</f>
        <v>700</v>
      </c>
      <c r="K57" s="126">
        <f>+'Artesanal S.española XV-IV'!I9</f>
        <v>0</v>
      </c>
      <c r="L57" s="126">
        <f>+'Artesanal S.española XV-IV'!J9</f>
        <v>700</v>
      </c>
      <c r="M57" s="127">
        <f>+'Artesanal S.española XV-IV'!K9</f>
        <v>0</v>
      </c>
      <c r="N57" s="128" t="s">
        <v>64</v>
      </c>
      <c r="O57" s="129">
        <f>+Resumen!C$4</f>
        <v>45484</v>
      </c>
      <c r="P57" s="57">
        <v>2024</v>
      </c>
    </row>
    <row r="58" spans="1:16" s="126" customFormat="1">
      <c r="A58" s="126" t="s">
        <v>86</v>
      </c>
      <c r="B58" s="126" t="s">
        <v>86</v>
      </c>
      <c r="C58" s="126" t="s">
        <v>11</v>
      </c>
      <c r="D58" s="126" t="s">
        <v>93</v>
      </c>
      <c r="E58" s="126" t="str">
        <f>+'Artesanal S.española XV-IV'!D10</f>
        <v>REGIÓN III</v>
      </c>
      <c r="F58" s="129">
        <v>45292</v>
      </c>
      <c r="G58" s="129">
        <v>45657</v>
      </c>
      <c r="H58" s="126">
        <f>+'Artesanal S.española XV-IV'!F10</f>
        <v>725</v>
      </c>
      <c r="I58" s="126">
        <f>+'Artesanal S.española XV-IV'!G10</f>
        <v>0</v>
      </c>
      <c r="J58" s="126">
        <f>+'Artesanal S.española XV-IV'!H10</f>
        <v>725</v>
      </c>
      <c r="K58" s="126">
        <f>+'Artesanal S.española XV-IV'!I10</f>
        <v>952.19899999999996</v>
      </c>
      <c r="L58" s="126">
        <f>+'Artesanal S.española XV-IV'!J10</f>
        <v>-227.19899999999996</v>
      </c>
      <c r="M58" s="127">
        <f>+'Artesanal S.española XV-IV'!K9</f>
        <v>0</v>
      </c>
      <c r="N58" s="128" t="s">
        <v>64</v>
      </c>
      <c r="O58" s="129">
        <f>+Resumen!C$4</f>
        <v>45484</v>
      </c>
      <c r="P58" s="57">
        <v>2024</v>
      </c>
    </row>
    <row r="59" spans="1:16" s="134" customFormat="1">
      <c r="A59" s="134" t="s">
        <v>86</v>
      </c>
      <c r="B59" s="134" t="s">
        <v>86</v>
      </c>
      <c r="C59" s="134" t="s">
        <v>11</v>
      </c>
      <c r="D59" s="134" t="s">
        <v>93</v>
      </c>
      <c r="E59" s="134" t="s">
        <v>95</v>
      </c>
      <c r="F59" s="151">
        <v>45292</v>
      </c>
      <c r="G59" s="151">
        <v>45657</v>
      </c>
      <c r="H59" s="134">
        <f>+'Artesanal S.española XV-IV'!M10</f>
        <v>725</v>
      </c>
      <c r="I59" s="134">
        <f>+'Artesanal S.española XV-IV'!N10</f>
        <v>0</v>
      </c>
      <c r="J59" s="134">
        <f>+'Artesanal S.española XV-IV'!O10</f>
        <v>725</v>
      </c>
      <c r="K59" s="134">
        <f>+'Artesanal S.española XV-IV'!P10</f>
        <v>952.19899999999996</v>
      </c>
      <c r="L59" s="134">
        <f>+'Artesanal S.española XV-IV'!Q10</f>
        <v>-227.19899999999996</v>
      </c>
      <c r="M59" s="149">
        <f>+'Artesanal S.española XV-IV'!R9</f>
        <v>0</v>
      </c>
      <c r="N59" s="150" t="s">
        <v>64</v>
      </c>
      <c r="O59" s="151">
        <f>+Resumen!C$4</f>
        <v>45484</v>
      </c>
      <c r="P59" s="57">
        <v>2024</v>
      </c>
    </row>
    <row r="60" spans="1:16" s="126" customFormat="1">
      <c r="A60" s="126" t="s">
        <v>86</v>
      </c>
      <c r="B60" s="126" t="s">
        <v>86</v>
      </c>
      <c r="C60" s="126" t="s">
        <v>12</v>
      </c>
      <c r="D60" s="126" t="s">
        <v>93</v>
      </c>
      <c r="E60" s="126" t="str">
        <f>+'Artesanal S.española XV-IV'!D11</f>
        <v>REGIÓN IV</v>
      </c>
      <c r="F60" s="129">
        <v>45292</v>
      </c>
      <c r="G60" s="129">
        <v>45657</v>
      </c>
      <c r="H60" s="126">
        <f>+'Artesanal S.española XV-IV'!F11</f>
        <v>725</v>
      </c>
      <c r="I60" s="126">
        <f>+'Artesanal S.española XV-IV'!G11</f>
        <v>0</v>
      </c>
      <c r="J60" s="126">
        <f>+'Artesanal S.española XV-IV'!H11</f>
        <v>725</v>
      </c>
      <c r="K60" s="126">
        <f>+'Artesanal S.española XV-IV'!I11</f>
        <v>690.80900000000008</v>
      </c>
      <c r="L60" s="126">
        <f>+'Artesanal S.española XV-IV'!J11</f>
        <v>34.190999999999917</v>
      </c>
      <c r="M60" s="127">
        <f>+'Artesanal S.española XV-IV'!K11</f>
        <v>0.95284000000000013</v>
      </c>
      <c r="N60" s="128" t="s">
        <v>64</v>
      </c>
      <c r="O60" s="129">
        <f>+Resumen!C$4</f>
        <v>45484</v>
      </c>
      <c r="P60" s="57">
        <v>2024</v>
      </c>
    </row>
    <row r="61" spans="1:16" s="126" customFormat="1">
      <c r="A61" s="126" t="s">
        <v>86</v>
      </c>
      <c r="B61" s="126" t="s">
        <v>86</v>
      </c>
      <c r="C61" s="126" t="s">
        <v>12</v>
      </c>
      <c r="D61" s="126" t="s">
        <v>93</v>
      </c>
      <c r="E61" s="126" t="s">
        <v>143</v>
      </c>
      <c r="F61" s="129">
        <v>45292</v>
      </c>
      <c r="G61" s="129">
        <v>45657</v>
      </c>
      <c r="H61" s="126">
        <f>+'Artesanal S.española XV-IV'!F12</f>
        <v>50</v>
      </c>
      <c r="I61" s="126">
        <f>+'Artesanal S.española XV-IV'!G12</f>
        <v>0</v>
      </c>
      <c r="J61" s="126">
        <f>+'Artesanal S.española XV-IV'!H12</f>
        <v>50</v>
      </c>
      <c r="K61" s="126">
        <f>+'Artesanal S.española XV-IV'!I12</f>
        <v>26.269000000000002</v>
      </c>
      <c r="L61" s="126">
        <f>+'Artesanal S.española XV-IV'!J12</f>
        <v>23.730999999999998</v>
      </c>
      <c r="M61" s="127">
        <f>+'Artesanal S.española XV-IV'!K12</f>
        <v>0.52538000000000007</v>
      </c>
      <c r="N61" s="128" t="s">
        <v>64</v>
      </c>
      <c r="O61" s="129">
        <f>+Resumen!C$4</f>
        <v>45484</v>
      </c>
      <c r="P61" s="57">
        <v>2024</v>
      </c>
    </row>
    <row r="62" spans="1:16" s="134" customFormat="1">
      <c r="A62" s="134" t="s">
        <v>86</v>
      </c>
      <c r="B62" s="134" t="s">
        <v>86</v>
      </c>
      <c r="C62" s="134" t="s">
        <v>12</v>
      </c>
      <c r="D62" s="134" t="s">
        <v>93</v>
      </c>
      <c r="E62" s="134" t="s">
        <v>95</v>
      </c>
      <c r="F62" s="151">
        <v>45292</v>
      </c>
      <c r="G62" s="151">
        <v>45657</v>
      </c>
      <c r="H62" s="134">
        <f>+'Artesanal S.española XV-IV'!M11</f>
        <v>725</v>
      </c>
      <c r="I62" s="134">
        <f>+'Artesanal S.española XV-IV'!N11</f>
        <v>0</v>
      </c>
      <c r="J62" s="134">
        <f>+'Artesanal S.española XV-IV'!O11</f>
        <v>725</v>
      </c>
      <c r="K62" s="134">
        <f>+'Artesanal S.española XV-IV'!P11</f>
        <v>690.80900000000008</v>
      </c>
      <c r="L62" s="134">
        <f>+'Artesanal S.española XV-IV'!Q11</f>
        <v>34.190999999999917</v>
      </c>
      <c r="M62" s="149">
        <f>+'Artesanal S.española XV-IV'!R11</f>
        <v>0.95284000000000013</v>
      </c>
      <c r="N62" s="150" t="s">
        <v>64</v>
      </c>
      <c r="O62" s="151">
        <f>+Resumen!C$4</f>
        <v>45484</v>
      </c>
      <c r="P62" s="57">
        <v>2024</v>
      </c>
    </row>
    <row r="63" spans="1:16">
      <c r="A63" s="52"/>
      <c r="B63" s="52"/>
    </row>
    <row r="64" spans="1:16">
      <c r="A64" s="52"/>
      <c r="B64" s="52"/>
    </row>
    <row r="65" spans="1:2">
      <c r="A65" s="52"/>
      <c r="B65" s="52"/>
    </row>
  </sheetData>
  <autoFilter ref="A1:Q62"/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99CC"/>
  </sheetPr>
  <dimension ref="B2:S23"/>
  <sheetViews>
    <sheetView zoomScaleNormal="100" workbookViewId="0">
      <selection activeCell="F7" sqref="F7"/>
    </sheetView>
  </sheetViews>
  <sheetFormatPr baseColWidth="10" defaultRowHeight="15"/>
  <cols>
    <col min="1" max="1" width="2.85546875" customWidth="1"/>
    <col min="2" max="2" width="22.7109375" customWidth="1"/>
    <col min="3" max="3" width="21.5703125" customWidth="1"/>
    <col min="4" max="4" width="27.7109375" style="1" bestFit="1" customWidth="1"/>
    <col min="5" max="5" width="8.85546875" bestFit="1" customWidth="1"/>
    <col min="6" max="6" width="12.28515625" customWidth="1"/>
    <col min="7" max="7" width="12.7109375" bestFit="1" customWidth="1"/>
    <col min="10" max="10" width="11.42578125" style="57"/>
  </cols>
  <sheetData>
    <row r="2" spans="2:19">
      <c r="B2" s="399" t="s">
        <v>147</v>
      </c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  <c r="O2" s="399"/>
      <c r="P2" s="399"/>
      <c r="Q2" s="399"/>
      <c r="R2" s="399"/>
      <c r="S2" s="399"/>
    </row>
    <row r="3" spans="2:19" s="13" customFormat="1">
      <c r="B3" s="399"/>
      <c r="C3" s="399"/>
      <c r="D3" s="399"/>
      <c r="E3" s="399"/>
      <c r="F3" s="399"/>
      <c r="G3" s="399"/>
      <c r="H3" s="399"/>
      <c r="I3" s="399"/>
      <c r="J3" s="399"/>
      <c r="K3" s="399"/>
      <c r="L3" s="399"/>
      <c r="M3" s="399"/>
      <c r="N3" s="399"/>
      <c r="O3" s="399"/>
      <c r="P3" s="399"/>
      <c r="Q3" s="399"/>
      <c r="R3" s="399"/>
      <c r="S3" s="399"/>
    </row>
    <row r="4" spans="2:19">
      <c r="B4" s="401">
        <f>+Resumen!C4</f>
        <v>45484</v>
      </c>
      <c r="C4" s="401"/>
      <c r="D4" s="401"/>
      <c r="E4" s="401"/>
      <c r="F4" s="401"/>
      <c r="G4" s="401"/>
      <c r="H4" s="401"/>
      <c r="I4" s="401"/>
      <c r="J4" s="401"/>
      <c r="K4" s="401"/>
      <c r="L4" s="401"/>
      <c r="M4" s="401"/>
      <c r="N4" s="401"/>
      <c r="O4" s="401"/>
      <c r="P4" s="401"/>
      <c r="Q4" s="401"/>
      <c r="R4" s="401"/>
      <c r="S4" s="401"/>
    </row>
    <row r="5" spans="2:19">
      <c r="N5" s="402" t="s">
        <v>63</v>
      </c>
      <c r="O5" s="402"/>
      <c r="P5" s="402"/>
      <c r="Q5" s="402"/>
      <c r="R5" s="402"/>
      <c r="S5" s="402"/>
    </row>
    <row r="6" spans="2:19" ht="30">
      <c r="B6" s="203" t="s">
        <v>17</v>
      </c>
      <c r="C6" s="202" t="s">
        <v>120</v>
      </c>
      <c r="D6" s="202" t="s">
        <v>26</v>
      </c>
      <c r="E6" s="202" t="s">
        <v>20</v>
      </c>
      <c r="F6" s="203" t="s">
        <v>30</v>
      </c>
      <c r="G6" s="202" t="s">
        <v>4</v>
      </c>
      <c r="H6" s="203" t="s">
        <v>31</v>
      </c>
      <c r="I6" s="203" t="s">
        <v>123</v>
      </c>
      <c r="J6" s="203" t="s">
        <v>132</v>
      </c>
      <c r="K6" s="203" t="s">
        <v>122</v>
      </c>
      <c r="L6" s="202" t="s">
        <v>32</v>
      </c>
      <c r="M6" s="202" t="s">
        <v>33</v>
      </c>
      <c r="N6" s="11" t="s">
        <v>30</v>
      </c>
      <c r="O6" s="12" t="s">
        <v>4</v>
      </c>
      <c r="P6" s="12" t="s">
        <v>31</v>
      </c>
      <c r="Q6" s="12" t="s">
        <v>6</v>
      </c>
      <c r="R6" s="12" t="s">
        <v>7</v>
      </c>
      <c r="S6" s="12" t="s">
        <v>32</v>
      </c>
    </row>
    <row r="7" spans="2:19">
      <c r="B7" s="403" t="s">
        <v>18</v>
      </c>
      <c r="C7" s="382" t="s">
        <v>23</v>
      </c>
      <c r="D7" s="382" t="s">
        <v>89</v>
      </c>
      <c r="E7" s="382" t="s">
        <v>50</v>
      </c>
      <c r="F7" s="382">
        <v>73151</v>
      </c>
      <c r="G7" s="382"/>
      <c r="H7" s="382">
        <f t="shared" ref="H7:H15" si="0">+F7+G7</f>
        <v>73151</v>
      </c>
      <c r="I7" s="382">
        <v>66932</v>
      </c>
      <c r="J7" s="213"/>
      <c r="K7" s="207">
        <f t="shared" ref="K7:K15" si="1">+H7-I7</f>
        <v>6219</v>
      </c>
      <c r="L7" s="209">
        <f>+I7/H7</f>
        <v>0.91498407403863247</v>
      </c>
      <c r="M7" s="210" t="s">
        <v>64</v>
      </c>
      <c r="N7" s="207">
        <f t="shared" ref="N7:O11" si="2">+F7</f>
        <v>73151</v>
      </c>
      <c r="O7" s="207">
        <f t="shared" si="2"/>
        <v>0</v>
      </c>
      <c r="P7" s="207">
        <f>+N7+O7</f>
        <v>73151</v>
      </c>
      <c r="Q7" s="207">
        <f t="shared" ref="Q7:Q15" si="3">+I7</f>
        <v>66932</v>
      </c>
      <c r="R7" s="207">
        <f t="shared" ref="R7:R15" si="4">+P7-Q7</f>
        <v>6219</v>
      </c>
      <c r="S7" s="211">
        <f t="shared" ref="S7:S15" si="5">+Q7/P7</f>
        <v>0.91498407403863247</v>
      </c>
    </row>
    <row r="8" spans="2:19">
      <c r="B8" s="403"/>
      <c r="C8" s="204" t="s">
        <v>24</v>
      </c>
      <c r="D8" s="212" t="s">
        <v>90</v>
      </c>
      <c r="E8" s="205" t="s">
        <v>50</v>
      </c>
      <c r="F8" s="206">
        <v>27707</v>
      </c>
      <c r="G8" s="207"/>
      <c r="H8" s="207">
        <f t="shared" si="0"/>
        <v>27707</v>
      </c>
      <c r="I8" s="296">
        <v>0.1</v>
      </c>
      <c r="J8" s="208"/>
      <c r="K8" s="207">
        <f t="shared" si="1"/>
        <v>27706.9</v>
      </c>
      <c r="L8" s="211">
        <f t="shared" ref="L8:L15" si="6">+I8/H8</f>
        <v>3.6091962319991339E-6</v>
      </c>
      <c r="M8" s="210" t="s">
        <v>64</v>
      </c>
      <c r="N8" s="207">
        <f>F8</f>
        <v>27707</v>
      </c>
      <c r="O8" s="207">
        <f t="shared" si="2"/>
        <v>0</v>
      </c>
      <c r="P8" s="207">
        <f>+N8+O8</f>
        <v>27707</v>
      </c>
      <c r="Q8" s="207">
        <f t="shared" si="3"/>
        <v>0.1</v>
      </c>
      <c r="R8" s="207">
        <f t="shared" si="4"/>
        <v>27706.9</v>
      </c>
      <c r="S8" s="211">
        <f t="shared" si="5"/>
        <v>3.6091962319991339E-6</v>
      </c>
    </row>
    <row r="9" spans="2:19" s="57" customFormat="1">
      <c r="B9" s="403"/>
      <c r="C9" s="204" t="s">
        <v>121</v>
      </c>
      <c r="D9" s="212" t="s">
        <v>15</v>
      </c>
      <c r="E9" s="205" t="s">
        <v>50</v>
      </c>
      <c r="F9" s="206">
        <v>1000</v>
      </c>
      <c r="G9" s="207"/>
      <c r="H9" s="207">
        <f t="shared" si="0"/>
        <v>1000</v>
      </c>
      <c r="I9" s="213"/>
      <c r="J9" s="213"/>
      <c r="K9" s="207">
        <f t="shared" si="1"/>
        <v>1000</v>
      </c>
      <c r="L9" s="211">
        <f t="shared" si="6"/>
        <v>0</v>
      </c>
      <c r="M9" s="210" t="s">
        <v>64</v>
      </c>
      <c r="N9" s="207">
        <f t="shared" si="2"/>
        <v>1000</v>
      </c>
      <c r="O9" s="207">
        <f t="shared" si="2"/>
        <v>0</v>
      </c>
      <c r="P9" s="207">
        <f>+H9</f>
        <v>1000</v>
      </c>
      <c r="Q9" s="207">
        <f t="shared" si="3"/>
        <v>0</v>
      </c>
      <c r="R9" s="207">
        <f t="shared" si="4"/>
        <v>1000</v>
      </c>
      <c r="S9" s="211">
        <f t="shared" si="5"/>
        <v>0</v>
      </c>
    </row>
    <row r="10" spans="2:19">
      <c r="B10" s="400" t="s">
        <v>21</v>
      </c>
      <c r="C10" s="240" t="s">
        <v>25</v>
      </c>
      <c r="D10" s="241" t="s">
        <v>91</v>
      </c>
      <c r="E10" s="242" t="s">
        <v>50</v>
      </c>
      <c r="F10" s="243">
        <v>21036</v>
      </c>
      <c r="G10" s="244"/>
      <c r="H10" s="244">
        <f t="shared" si="0"/>
        <v>21036</v>
      </c>
      <c r="I10" s="245"/>
      <c r="J10" s="245"/>
      <c r="K10" s="244">
        <f t="shared" si="1"/>
        <v>21036</v>
      </c>
      <c r="L10" s="246">
        <f t="shared" si="6"/>
        <v>0</v>
      </c>
      <c r="M10" s="247" t="s">
        <v>64</v>
      </c>
      <c r="N10" s="244">
        <f t="shared" si="2"/>
        <v>21036</v>
      </c>
      <c r="O10" s="244">
        <f t="shared" si="2"/>
        <v>0</v>
      </c>
      <c r="P10" s="244">
        <f>+N10+O10</f>
        <v>21036</v>
      </c>
      <c r="Q10" s="244">
        <f t="shared" si="3"/>
        <v>0</v>
      </c>
      <c r="R10" s="244">
        <f t="shared" si="4"/>
        <v>21036</v>
      </c>
      <c r="S10" s="248">
        <f t="shared" si="5"/>
        <v>0</v>
      </c>
    </row>
    <row r="11" spans="2:19">
      <c r="B11" s="400"/>
      <c r="C11" s="404" t="s">
        <v>27</v>
      </c>
      <c r="D11" s="241" t="s">
        <v>145</v>
      </c>
      <c r="E11" s="242" t="s">
        <v>50</v>
      </c>
      <c r="F11" s="244">
        <v>293.78699999999998</v>
      </c>
      <c r="G11" s="244"/>
      <c r="H11" s="244">
        <f>+F11+G11</f>
        <v>293.78699999999998</v>
      </c>
      <c r="I11" s="245"/>
      <c r="J11" s="245"/>
      <c r="K11" s="244">
        <f t="shared" si="1"/>
        <v>293.78699999999998</v>
      </c>
      <c r="L11" s="246">
        <f t="shared" si="6"/>
        <v>0</v>
      </c>
      <c r="M11" s="247" t="s">
        <v>64</v>
      </c>
      <c r="N11" s="244">
        <f>+F11</f>
        <v>293.78699999999998</v>
      </c>
      <c r="O11" s="244">
        <f t="shared" si="2"/>
        <v>0</v>
      </c>
      <c r="P11" s="244">
        <f>+N11+O11</f>
        <v>293.78699999999998</v>
      </c>
      <c r="Q11" s="244">
        <f t="shared" si="3"/>
        <v>0</v>
      </c>
      <c r="R11" s="244">
        <f t="shared" si="4"/>
        <v>293.78699999999998</v>
      </c>
      <c r="S11" s="248">
        <f t="shared" si="5"/>
        <v>0</v>
      </c>
    </row>
    <row r="12" spans="2:19" s="57" customFormat="1">
      <c r="B12" s="400"/>
      <c r="C12" s="404"/>
      <c r="D12" s="241" t="s">
        <v>135</v>
      </c>
      <c r="E12" s="242" t="s">
        <v>50</v>
      </c>
      <c r="F12" s="244">
        <v>7985.9570000000003</v>
      </c>
      <c r="G12" s="244"/>
      <c r="H12" s="244">
        <f>+F12+G12</f>
        <v>7985.9570000000003</v>
      </c>
      <c r="I12" s="245"/>
      <c r="J12" s="245"/>
      <c r="K12" s="244">
        <f t="shared" ref="K12:K13" si="7">+H12-I12</f>
        <v>7985.9570000000003</v>
      </c>
      <c r="L12" s="246">
        <f t="shared" ref="L12:L13" si="8">+I12/H12</f>
        <v>0</v>
      </c>
      <c r="M12" s="247" t="s">
        <v>64</v>
      </c>
      <c r="N12" s="244">
        <f>+F12</f>
        <v>7985.9570000000003</v>
      </c>
      <c r="O12" s="244">
        <f t="shared" ref="O12" si="9">+G12</f>
        <v>0</v>
      </c>
      <c r="P12" s="244">
        <f>+N12+O12</f>
        <v>7985.9570000000003</v>
      </c>
      <c r="Q12" s="244">
        <f t="shared" ref="Q12" si="10">+I12</f>
        <v>0</v>
      </c>
      <c r="R12" s="244">
        <f t="shared" ref="R12" si="11">+P12-Q12</f>
        <v>7985.9570000000003</v>
      </c>
      <c r="S12" s="248">
        <f t="shared" ref="S12" si="12">+Q12/P12</f>
        <v>0</v>
      </c>
    </row>
    <row r="13" spans="2:19" s="57" customFormat="1">
      <c r="B13" s="400"/>
      <c r="C13" s="404"/>
      <c r="D13" s="241" t="s">
        <v>160</v>
      </c>
      <c r="E13" s="242" t="s">
        <v>50</v>
      </c>
      <c r="F13" s="244">
        <v>49.655999999999999</v>
      </c>
      <c r="G13" s="244"/>
      <c r="H13" s="244">
        <f>+F13+G13</f>
        <v>49.655999999999999</v>
      </c>
      <c r="I13" s="245"/>
      <c r="J13" s="245"/>
      <c r="K13" s="244">
        <f t="shared" si="7"/>
        <v>49.655999999999999</v>
      </c>
      <c r="L13" s="246">
        <f t="shared" si="8"/>
        <v>0</v>
      </c>
      <c r="M13" s="247"/>
      <c r="N13" s="244">
        <f>+F13</f>
        <v>49.655999999999999</v>
      </c>
      <c r="O13" s="244"/>
      <c r="P13" s="244"/>
      <c r="Q13" s="244"/>
      <c r="R13" s="244"/>
      <c r="S13" s="248"/>
    </row>
    <row r="14" spans="2:19" s="57" customFormat="1">
      <c r="B14" s="400"/>
      <c r="C14" s="404"/>
      <c r="D14" s="241" t="s">
        <v>136</v>
      </c>
      <c r="E14" s="242" t="s">
        <v>50</v>
      </c>
      <c r="F14" s="244">
        <v>686.1</v>
      </c>
      <c r="G14" s="244"/>
      <c r="H14" s="244">
        <f>+F14+G14</f>
        <v>686.1</v>
      </c>
      <c r="I14" s="245"/>
      <c r="J14" s="245"/>
      <c r="K14" s="244">
        <f>+H14-(I14+J14)</f>
        <v>686.1</v>
      </c>
      <c r="L14" s="246">
        <f t="shared" si="6"/>
        <v>0</v>
      </c>
      <c r="M14" s="247" t="s">
        <v>64</v>
      </c>
      <c r="N14" s="244">
        <f>+F14</f>
        <v>686.1</v>
      </c>
      <c r="O14" s="244">
        <f>+G14</f>
        <v>0</v>
      </c>
      <c r="P14" s="244">
        <f>+N14+O14</f>
        <v>686.1</v>
      </c>
      <c r="Q14" s="244">
        <f t="shared" si="3"/>
        <v>0</v>
      </c>
      <c r="R14" s="244">
        <f t="shared" si="4"/>
        <v>686.1</v>
      </c>
      <c r="S14" s="248">
        <f t="shared" si="5"/>
        <v>0</v>
      </c>
    </row>
    <row r="15" spans="2:19" s="57" customFormat="1">
      <c r="B15" s="400"/>
      <c r="C15" s="240" t="s">
        <v>121</v>
      </c>
      <c r="D15" s="241" t="s">
        <v>16</v>
      </c>
      <c r="E15" s="242" t="s">
        <v>50</v>
      </c>
      <c r="F15" s="243">
        <v>500</v>
      </c>
      <c r="G15" s="244"/>
      <c r="H15" s="244">
        <f t="shared" si="0"/>
        <v>500</v>
      </c>
      <c r="I15" s="249"/>
      <c r="J15" s="249"/>
      <c r="K15" s="244">
        <f t="shared" si="1"/>
        <v>500</v>
      </c>
      <c r="L15" s="248">
        <f t="shared" si="6"/>
        <v>0</v>
      </c>
      <c r="M15" s="247" t="s">
        <v>64</v>
      </c>
      <c r="N15" s="244">
        <f>+F15</f>
        <v>500</v>
      </c>
      <c r="O15" s="244">
        <f>+G15</f>
        <v>0</v>
      </c>
      <c r="P15" s="244">
        <f>+H15</f>
        <v>500</v>
      </c>
      <c r="Q15" s="244">
        <f t="shared" si="3"/>
        <v>0</v>
      </c>
      <c r="R15" s="244">
        <f t="shared" si="4"/>
        <v>500</v>
      </c>
      <c r="S15" s="248">
        <f t="shared" si="5"/>
        <v>0</v>
      </c>
    </row>
    <row r="16" spans="2:19">
      <c r="B16" s="3"/>
      <c r="F16" s="70"/>
    </row>
    <row r="19" spans="2:5">
      <c r="E19" s="57"/>
    </row>
    <row r="22" spans="2:5">
      <c r="B22" s="57"/>
    </row>
    <row r="23" spans="2:5">
      <c r="B23" s="57"/>
    </row>
  </sheetData>
  <mergeCells count="6">
    <mergeCell ref="B2:S3"/>
    <mergeCell ref="B10:B15"/>
    <mergeCell ref="B4:S4"/>
    <mergeCell ref="N5:S5"/>
    <mergeCell ref="B7:B9"/>
    <mergeCell ref="C11:C14"/>
  </mergeCells>
  <conditionalFormatting sqref="K7:K15">
    <cfRule type="cellIs" dxfId="7" priority="3" operator="lessThan">
      <formula>0</formula>
    </cfRule>
  </conditionalFormatting>
  <conditionalFormatting sqref="S7:S8 L7:L15 S10:S15">
    <cfRule type="cellIs" dxfId="6" priority="2" operator="greaterThan">
      <formula>0.9</formula>
    </cfRule>
  </conditionalFormatting>
  <pageMargins left="0.7" right="0.7" top="0.75" bottom="0.75" header="0.3" footer="0.3"/>
  <pageSetup paperSize="9" orientation="portrait" r:id="rId1"/>
  <ignoredErrors>
    <ignoredError sqref="H10 P10:P11 P8 H8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B2:R13"/>
  <sheetViews>
    <sheetView zoomScale="130" zoomScaleNormal="130" workbookViewId="0">
      <selection activeCell="I11" sqref="I11"/>
    </sheetView>
  </sheetViews>
  <sheetFormatPr baseColWidth="10" defaultRowHeight="15"/>
  <cols>
    <col min="1" max="1" width="3" customWidth="1"/>
    <col min="2" max="2" width="17.140625" customWidth="1"/>
    <col min="3" max="3" width="19.140625" customWidth="1"/>
    <col min="4" max="4" width="18.140625" customWidth="1"/>
    <col min="5" max="5" width="8.85546875" bestFit="1" customWidth="1"/>
    <col min="6" max="6" width="10" bestFit="1" customWidth="1"/>
    <col min="7" max="7" width="12.85546875" bestFit="1" customWidth="1"/>
    <col min="8" max="9" width="10" bestFit="1" customWidth="1"/>
    <col min="10" max="10" width="9.42578125" bestFit="1" customWidth="1"/>
    <col min="13" max="13" width="10" bestFit="1" customWidth="1"/>
    <col min="14" max="14" width="12.85546875" bestFit="1" customWidth="1"/>
    <col min="15" max="15" width="10" bestFit="1" customWidth="1"/>
    <col min="16" max="16" width="9" customWidth="1"/>
    <col min="17" max="17" width="9.42578125" bestFit="1" customWidth="1"/>
    <col min="18" max="18" width="10.85546875" customWidth="1"/>
  </cols>
  <sheetData>
    <row r="2" spans="2:18">
      <c r="B2" s="411" t="s">
        <v>150</v>
      </c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1"/>
      <c r="R2" s="411"/>
    </row>
    <row r="3" spans="2:18">
      <c r="B3" s="411"/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411"/>
      <c r="N3" s="411"/>
      <c r="O3" s="411"/>
      <c r="P3" s="411"/>
      <c r="Q3" s="411"/>
      <c r="R3" s="411"/>
    </row>
    <row r="4" spans="2:18">
      <c r="B4" s="401">
        <f>+Resumen!C4</f>
        <v>45484</v>
      </c>
      <c r="C4" s="401"/>
      <c r="D4" s="401"/>
      <c r="E4" s="401"/>
      <c r="F4" s="401"/>
      <c r="G4" s="401"/>
      <c r="H4" s="401"/>
      <c r="I4" s="401"/>
      <c r="J4" s="401"/>
      <c r="K4" s="401"/>
      <c r="L4" s="401"/>
      <c r="M4" s="401"/>
      <c r="N4" s="401"/>
      <c r="O4" s="401"/>
      <c r="P4" s="401"/>
      <c r="Q4" s="401"/>
      <c r="R4" s="401"/>
    </row>
    <row r="5" spans="2:18"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402" t="s">
        <v>63</v>
      </c>
      <c r="N5" s="402"/>
      <c r="O5" s="402"/>
      <c r="P5" s="402"/>
      <c r="Q5" s="402"/>
      <c r="R5" s="402"/>
    </row>
    <row r="6" spans="2:18" ht="30">
      <c r="B6" s="189" t="s">
        <v>17</v>
      </c>
      <c r="C6" s="190" t="s">
        <v>120</v>
      </c>
      <c r="D6" s="190" t="s">
        <v>26</v>
      </c>
      <c r="E6" s="190" t="s">
        <v>20</v>
      </c>
      <c r="F6" s="189" t="s">
        <v>30</v>
      </c>
      <c r="G6" s="190" t="s">
        <v>4</v>
      </c>
      <c r="H6" s="189" t="s">
        <v>31</v>
      </c>
      <c r="I6" s="190" t="s">
        <v>6</v>
      </c>
      <c r="J6" s="190" t="s">
        <v>7</v>
      </c>
      <c r="K6" s="190" t="s">
        <v>32</v>
      </c>
      <c r="L6" s="190" t="s">
        <v>33</v>
      </c>
      <c r="M6" s="11" t="s">
        <v>30</v>
      </c>
      <c r="N6" s="12" t="s">
        <v>4</v>
      </c>
      <c r="O6" s="11" t="s">
        <v>31</v>
      </c>
      <c r="P6" s="12" t="s">
        <v>6</v>
      </c>
      <c r="Q6" s="12" t="s">
        <v>7</v>
      </c>
      <c r="R6" s="11" t="s">
        <v>32</v>
      </c>
    </row>
    <row r="7" spans="2:18" ht="30">
      <c r="B7" s="408" t="s">
        <v>19</v>
      </c>
      <c r="C7" s="214" t="s">
        <v>23</v>
      </c>
      <c r="D7" s="215" t="s">
        <v>89</v>
      </c>
      <c r="E7" s="192" t="s">
        <v>50</v>
      </c>
      <c r="F7" s="193">
        <v>1323</v>
      </c>
      <c r="G7" s="194"/>
      <c r="H7" s="194">
        <f t="shared" ref="H7:H12" si="0">+F7+G7</f>
        <v>1323</v>
      </c>
      <c r="I7" s="216">
        <v>1155.4359999999999</v>
      </c>
      <c r="J7" s="194">
        <f t="shared" ref="J7:J12" si="1">+H7-I7</f>
        <v>167.56400000000008</v>
      </c>
      <c r="K7" s="195">
        <f t="shared" ref="K7:K10" si="2">+I7/H7</f>
        <v>0.87334542705971274</v>
      </c>
      <c r="L7" s="216"/>
      <c r="M7" s="196">
        <f t="shared" ref="M7:N12" si="3">+F7</f>
        <v>1323</v>
      </c>
      <c r="N7" s="196">
        <f t="shared" si="3"/>
        <v>0</v>
      </c>
      <c r="O7" s="196">
        <f>+M7+N7</f>
        <v>1323</v>
      </c>
      <c r="P7" s="196">
        <f t="shared" ref="P7:P12" si="4">+I7</f>
        <v>1155.4359999999999</v>
      </c>
      <c r="Q7" s="196">
        <f t="shared" ref="Q7:Q12" si="5">+O7-P7</f>
        <v>167.56400000000008</v>
      </c>
      <c r="R7" s="197">
        <f t="shared" ref="R7:R12" si="6">+P7/O7</f>
        <v>0.87334542705971274</v>
      </c>
    </row>
    <row r="8" spans="2:18">
      <c r="B8" s="409"/>
      <c r="C8" s="251" t="s">
        <v>24</v>
      </c>
      <c r="D8" s="252" t="s">
        <v>90</v>
      </c>
      <c r="E8" s="253" t="s">
        <v>50</v>
      </c>
      <c r="F8" s="254">
        <v>5007</v>
      </c>
      <c r="G8" s="255"/>
      <c r="H8" s="255">
        <f t="shared" si="0"/>
        <v>5007</v>
      </c>
      <c r="I8" s="316">
        <v>4992.4210000000003</v>
      </c>
      <c r="J8" s="194">
        <f t="shared" si="1"/>
        <v>14.578999999999724</v>
      </c>
      <c r="K8" s="195">
        <f t="shared" si="2"/>
        <v>0.99708827641302178</v>
      </c>
      <c r="L8" s="226">
        <v>45425</v>
      </c>
      <c r="M8" s="196">
        <f t="shared" si="3"/>
        <v>5007</v>
      </c>
      <c r="N8" s="196">
        <f t="shared" si="3"/>
        <v>0</v>
      </c>
      <c r="O8" s="196">
        <f>+M8+N8</f>
        <v>5007</v>
      </c>
      <c r="P8" s="196">
        <f t="shared" si="4"/>
        <v>4992.4210000000003</v>
      </c>
      <c r="Q8" s="196">
        <f t="shared" si="5"/>
        <v>14.578999999999724</v>
      </c>
      <c r="R8" s="197">
        <f t="shared" si="6"/>
        <v>0.99708827641302178</v>
      </c>
    </row>
    <row r="9" spans="2:18" s="57" customFormat="1">
      <c r="B9" s="410"/>
      <c r="C9" s="217" t="s">
        <v>121</v>
      </c>
      <c r="D9" s="218" t="s">
        <v>15</v>
      </c>
      <c r="E9" s="192" t="s">
        <v>50</v>
      </c>
      <c r="F9" s="317">
        <v>700</v>
      </c>
      <c r="G9" s="194"/>
      <c r="H9" s="194">
        <f t="shared" si="0"/>
        <v>700</v>
      </c>
      <c r="I9" s="234"/>
      <c r="J9" s="194">
        <f t="shared" si="1"/>
        <v>700</v>
      </c>
      <c r="K9" s="195">
        <f>+I9/H9</f>
        <v>0</v>
      </c>
      <c r="L9" s="216"/>
      <c r="M9" s="198">
        <f t="shared" si="3"/>
        <v>700</v>
      </c>
      <c r="N9" s="198">
        <f t="shared" si="3"/>
        <v>0</v>
      </c>
      <c r="O9" s="198">
        <f>+H9</f>
        <v>700</v>
      </c>
      <c r="P9" s="198">
        <f t="shared" si="4"/>
        <v>0</v>
      </c>
      <c r="Q9" s="198">
        <f t="shared" si="5"/>
        <v>700</v>
      </c>
      <c r="R9" s="199">
        <f t="shared" si="6"/>
        <v>0</v>
      </c>
    </row>
    <row r="10" spans="2:18" ht="15" customHeight="1">
      <c r="B10" s="405" t="s">
        <v>28</v>
      </c>
      <c r="C10" s="328" t="s">
        <v>29</v>
      </c>
      <c r="D10" s="329" t="s">
        <v>91</v>
      </c>
      <c r="E10" s="330" t="s">
        <v>50</v>
      </c>
      <c r="F10" s="331">
        <v>725</v>
      </c>
      <c r="G10" s="235"/>
      <c r="H10" s="235">
        <f t="shared" si="0"/>
        <v>725</v>
      </c>
      <c r="I10" s="327">
        <v>952.19899999999996</v>
      </c>
      <c r="J10" s="235">
        <f t="shared" si="1"/>
        <v>-227.19899999999996</v>
      </c>
      <c r="K10" s="236">
        <f t="shared" si="2"/>
        <v>1.3133779310344826</v>
      </c>
      <c r="L10" s="237">
        <v>45379</v>
      </c>
      <c r="M10" s="238">
        <f t="shared" si="3"/>
        <v>725</v>
      </c>
      <c r="N10" s="238">
        <f t="shared" si="3"/>
        <v>0</v>
      </c>
      <c r="O10" s="238">
        <f>+M10+N10</f>
        <v>725</v>
      </c>
      <c r="P10" s="238">
        <f t="shared" si="4"/>
        <v>952.19899999999996</v>
      </c>
      <c r="Q10" s="238">
        <f t="shared" si="5"/>
        <v>-227.19899999999996</v>
      </c>
      <c r="R10" s="239">
        <f t="shared" si="6"/>
        <v>1.3133779310344826</v>
      </c>
    </row>
    <row r="11" spans="2:18">
      <c r="B11" s="406"/>
      <c r="C11" s="328" t="s">
        <v>27</v>
      </c>
      <c r="D11" s="329" t="s">
        <v>92</v>
      </c>
      <c r="E11" s="330" t="s">
        <v>50</v>
      </c>
      <c r="F11" s="331">
        <v>725</v>
      </c>
      <c r="G11" s="235"/>
      <c r="H11" s="235">
        <f t="shared" si="0"/>
        <v>725</v>
      </c>
      <c r="I11" s="304">
        <v>690.80900000000008</v>
      </c>
      <c r="J11" s="235">
        <f t="shared" si="1"/>
        <v>34.190999999999917</v>
      </c>
      <c r="K11" s="303">
        <f>+I11/H11</f>
        <v>0.95284000000000013</v>
      </c>
      <c r="L11" s="237"/>
      <c r="M11" s="238">
        <f t="shared" si="3"/>
        <v>725</v>
      </c>
      <c r="N11" s="238">
        <f t="shared" si="3"/>
        <v>0</v>
      </c>
      <c r="O11" s="238">
        <f>+M11+N11</f>
        <v>725</v>
      </c>
      <c r="P11" s="238">
        <f t="shared" si="4"/>
        <v>690.80900000000008</v>
      </c>
      <c r="Q11" s="238">
        <f t="shared" si="5"/>
        <v>34.190999999999917</v>
      </c>
      <c r="R11" s="239">
        <f>+P11/O11</f>
        <v>0.95284000000000013</v>
      </c>
    </row>
    <row r="12" spans="2:18" s="57" customFormat="1">
      <c r="B12" s="407"/>
      <c r="C12" s="219" t="s">
        <v>121</v>
      </c>
      <c r="D12" s="220" t="s">
        <v>16</v>
      </c>
      <c r="E12" s="221" t="s">
        <v>50</v>
      </c>
      <c r="F12" s="222">
        <v>50</v>
      </c>
      <c r="G12" s="223"/>
      <c r="H12" s="223">
        <f t="shared" si="0"/>
        <v>50</v>
      </c>
      <c r="I12" s="297">
        <f>8.332+17.937</f>
        <v>26.269000000000002</v>
      </c>
      <c r="J12" s="223">
        <f t="shared" si="1"/>
        <v>23.730999999999998</v>
      </c>
      <c r="K12" s="224">
        <f>+I12/H12</f>
        <v>0.52538000000000007</v>
      </c>
      <c r="L12" s="225"/>
      <c r="M12" s="200">
        <f t="shared" si="3"/>
        <v>50</v>
      </c>
      <c r="N12" s="200">
        <f t="shared" si="3"/>
        <v>0</v>
      </c>
      <c r="O12" s="200">
        <f>+M12+N12</f>
        <v>50</v>
      </c>
      <c r="P12" s="200">
        <f t="shared" si="4"/>
        <v>26.269000000000002</v>
      </c>
      <c r="Q12" s="200">
        <f t="shared" si="5"/>
        <v>23.730999999999998</v>
      </c>
      <c r="R12" s="201">
        <f t="shared" si="6"/>
        <v>0.52538000000000007</v>
      </c>
    </row>
    <row r="13" spans="2:18">
      <c r="F13" s="71"/>
    </row>
  </sheetData>
  <mergeCells count="5">
    <mergeCell ref="B10:B12"/>
    <mergeCell ref="B7:B9"/>
    <mergeCell ref="B2:R3"/>
    <mergeCell ref="B4:R4"/>
    <mergeCell ref="M5:R5"/>
  </mergeCells>
  <conditionalFormatting sqref="J7:J9">
    <cfRule type="cellIs" dxfId="5" priority="6" operator="lessThan">
      <formula>0</formula>
    </cfRule>
  </conditionalFormatting>
  <conditionalFormatting sqref="K7:K9 R7:R9">
    <cfRule type="cellIs" dxfId="4" priority="5" operator="greaterThan">
      <formula>0.9</formula>
    </cfRule>
  </conditionalFormatting>
  <conditionalFormatting sqref="J10:J12">
    <cfRule type="cellIs" dxfId="3" priority="3" operator="lessThan">
      <formula>0</formula>
    </cfRule>
  </conditionalFormatting>
  <conditionalFormatting sqref="K10:K12">
    <cfRule type="cellIs" dxfId="2" priority="2" operator="greaterThan">
      <formula>0.9</formula>
    </cfRule>
  </conditionalFormatting>
  <conditionalFormatting sqref="R10:R12">
    <cfRule type="cellIs" dxfId="1" priority="1" operator="greaterThan">
      <formula>0.9</formula>
    </cfRule>
  </conditionalFormatting>
  <pageMargins left="0.7" right="0.7" top="0.75" bottom="0.75" header="0.3" footer="0.3"/>
  <pageSetup orientation="portrait" r:id="rId1"/>
  <ignoredErrors>
    <ignoredError sqref="O7 H8 O9:O12 O8" 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>
    <tabColor theme="1" tint="0.34998626667073579"/>
  </sheetPr>
  <dimension ref="B1:W168"/>
  <sheetViews>
    <sheetView tabSelected="1" zoomScaleNormal="100" workbookViewId="0">
      <pane ySplit="4" topLeftCell="A109" activePane="bottomLeft" state="frozen"/>
      <selection activeCell="K47" sqref="K47:K54"/>
      <selection pane="bottomLeft" activeCell="D113" sqref="D113"/>
    </sheetView>
  </sheetViews>
  <sheetFormatPr baseColWidth="10" defaultRowHeight="15"/>
  <cols>
    <col min="1" max="1" width="4.5703125" style="67" customWidth="1"/>
    <col min="2" max="2" width="9.140625" style="88" bestFit="1" customWidth="1"/>
    <col min="3" max="3" width="13.140625" style="88" customWidth="1"/>
    <col min="4" max="5" width="11.42578125" style="88"/>
    <col min="6" max="6" width="27.7109375" style="88" customWidth="1"/>
    <col min="7" max="8" width="11.42578125" style="88"/>
    <col min="9" max="9" width="10.42578125" style="88" bestFit="1" customWidth="1"/>
    <col min="10" max="10" width="11.85546875" style="88" bestFit="1" customWidth="1"/>
    <col min="11" max="11" width="12.7109375" style="88" bestFit="1" customWidth="1"/>
    <col min="12" max="13" width="10" style="88" customWidth="1"/>
    <col min="14" max="14" width="13.42578125" style="88" customWidth="1"/>
    <col min="15" max="15" width="13.5703125" style="88" customWidth="1"/>
    <col min="16" max="17" width="11.42578125" style="67"/>
    <col min="18" max="18" width="15" style="67" bestFit="1" customWidth="1"/>
    <col min="19" max="20" width="17.7109375" style="67" customWidth="1"/>
    <col min="21" max="21" width="13" style="67" bestFit="1" customWidth="1"/>
    <col min="22" max="22" width="15" style="67" bestFit="1" customWidth="1"/>
    <col min="23" max="23" width="16.42578125" style="67" bestFit="1" customWidth="1"/>
    <col min="24" max="16384" width="11.42578125" style="67"/>
  </cols>
  <sheetData>
    <row r="1" spans="2:23" ht="15.75" thickBot="1"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spans="2:23" ht="15.75" thickBot="1">
      <c r="B2" s="67"/>
      <c r="C2" s="67"/>
      <c r="D2" s="67"/>
      <c r="E2" s="67"/>
      <c r="F2" s="67"/>
      <c r="G2" s="67"/>
      <c r="H2" s="444" t="s">
        <v>151</v>
      </c>
      <c r="I2" s="445"/>
      <c r="J2" s="445"/>
      <c r="K2" s="445"/>
      <c r="L2" s="447" t="s">
        <v>152</v>
      </c>
      <c r="M2" s="447"/>
      <c r="N2" s="447"/>
      <c r="O2" s="447"/>
    </row>
    <row r="3" spans="2:23" hidden="1">
      <c r="B3" s="67"/>
      <c r="C3" s="67"/>
      <c r="D3" s="67"/>
      <c r="E3" s="67"/>
      <c r="F3" s="67"/>
      <c r="G3" s="67"/>
      <c r="H3" s="86" t="s">
        <v>111</v>
      </c>
      <c r="I3" s="86" t="s">
        <v>112</v>
      </c>
      <c r="J3" s="86" t="s">
        <v>113</v>
      </c>
      <c r="K3" s="257" t="s">
        <v>114</v>
      </c>
      <c r="L3" s="318" t="s">
        <v>111</v>
      </c>
      <c r="M3" s="318" t="s">
        <v>112</v>
      </c>
      <c r="N3" s="318" t="s">
        <v>113</v>
      </c>
      <c r="O3" s="318" t="s">
        <v>114</v>
      </c>
      <c r="S3" s="434" t="s">
        <v>153</v>
      </c>
      <c r="T3" s="434"/>
      <c r="U3" s="435"/>
      <c r="V3" s="435"/>
      <c r="W3" s="435"/>
    </row>
    <row r="4" spans="2:23" ht="30" hidden="1">
      <c r="B4" s="90" t="s">
        <v>106</v>
      </c>
      <c r="C4" s="91" t="s">
        <v>107</v>
      </c>
      <c r="D4" s="92" t="s">
        <v>108</v>
      </c>
      <c r="E4" s="91" t="s">
        <v>22</v>
      </c>
      <c r="F4" s="91" t="s">
        <v>109</v>
      </c>
      <c r="G4" s="91" t="s">
        <v>110</v>
      </c>
      <c r="H4" s="91" t="s">
        <v>99</v>
      </c>
      <c r="I4" s="91" t="s">
        <v>99</v>
      </c>
      <c r="J4" s="91" t="s">
        <v>99</v>
      </c>
      <c r="K4" s="258" t="s">
        <v>99</v>
      </c>
      <c r="L4" s="319" t="s">
        <v>100</v>
      </c>
      <c r="M4" s="319" t="s">
        <v>100</v>
      </c>
      <c r="N4" s="319" t="s">
        <v>100</v>
      </c>
      <c r="O4" s="319" t="s">
        <v>100</v>
      </c>
      <c r="S4" s="78" t="s">
        <v>111</v>
      </c>
      <c r="T4" s="148" t="s">
        <v>111</v>
      </c>
      <c r="U4" s="78" t="s">
        <v>112</v>
      </c>
      <c r="V4" s="78" t="s">
        <v>113</v>
      </c>
      <c r="W4" s="78" t="s">
        <v>114</v>
      </c>
    </row>
    <row r="5" spans="2:23" hidden="1">
      <c r="B5" s="181" t="s">
        <v>167</v>
      </c>
      <c r="C5" s="228">
        <v>45342</v>
      </c>
      <c r="D5" s="181">
        <v>456</v>
      </c>
      <c r="E5" s="181" t="s">
        <v>166</v>
      </c>
      <c r="F5" s="181" t="s">
        <v>168</v>
      </c>
      <c r="G5" s="181">
        <v>701438</v>
      </c>
      <c r="H5" s="439">
        <v>3173.2089999999998</v>
      </c>
      <c r="I5" s="181"/>
      <c r="J5" s="439">
        <f>H5-(SUM(I5:I12))</f>
        <v>3173.2089999999998</v>
      </c>
      <c r="K5" s="446">
        <f>(SUM(I5:I12))/H5</f>
        <v>0</v>
      </c>
      <c r="L5" s="250"/>
      <c r="M5" s="250"/>
      <c r="N5" s="250"/>
      <c r="O5" s="250"/>
      <c r="S5" s="180" t="s">
        <v>99</v>
      </c>
      <c r="T5" s="181">
        <f>SUM(H5:H223)</f>
        <v>205904.679</v>
      </c>
      <c r="U5" s="181">
        <f>SUM(I5:I125)</f>
        <v>0</v>
      </c>
      <c r="V5" s="181">
        <f>T5-U5</f>
        <v>205904.679</v>
      </c>
      <c r="W5" s="227">
        <f>U5/T5</f>
        <v>0</v>
      </c>
    </row>
    <row r="6" spans="2:23" hidden="1">
      <c r="B6" s="181" t="s">
        <v>167</v>
      </c>
      <c r="C6" s="228">
        <v>45342</v>
      </c>
      <c r="D6" s="181">
        <v>456</v>
      </c>
      <c r="E6" s="181" t="s">
        <v>166</v>
      </c>
      <c r="F6" s="181" t="s">
        <v>169</v>
      </c>
      <c r="G6" s="181">
        <v>699687</v>
      </c>
      <c r="H6" s="439"/>
      <c r="I6" s="181"/>
      <c r="J6" s="439"/>
      <c r="K6" s="446"/>
      <c r="L6" s="250"/>
      <c r="M6" s="250"/>
      <c r="N6" s="250"/>
      <c r="O6" s="250"/>
      <c r="S6" s="180" t="s">
        <v>119</v>
      </c>
      <c r="T6" s="181">
        <f>SUM(L21:L176)</f>
        <v>3370</v>
      </c>
      <c r="U6" s="181">
        <f>SUM(M21:M250)</f>
        <v>732.22099999999989</v>
      </c>
      <c r="V6" s="256">
        <f>T6-U6</f>
        <v>2637.779</v>
      </c>
      <c r="W6" s="227">
        <f>U6/T6</f>
        <v>0.2172762611275964</v>
      </c>
    </row>
    <row r="7" spans="2:23" hidden="1">
      <c r="B7" s="181" t="s">
        <v>167</v>
      </c>
      <c r="C7" s="228">
        <v>45342</v>
      </c>
      <c r="D7" s="181">
        <v>456</v>
      </c>
      <c r="E7" s="181" t="s">
        <v>166</v>
      </c>
      <c r="F7" s="181" t="s">
        <v>170</v>
      </c>
      <c r="G7" s="181">
        <v>967544</v>
      </c>
      <c r="H7" s="439"/>
      <c r="I7" s="181"/>
      <c r="J7" s="439"/>
      <c r="K7" s="446"/>
      <c r="L7" s="250"/>
      <c r="M7" s="250"/>
      <c r="N7" s="250"/>
      <c r="O7" s="250"/>
      <c r="S7" s="180" t="s">
        <v>161</v>
      </c>
      <c r="T7" s="181"/>
      <c r="U7" s="181"/>
      <c r="V7" s="181"/>
      <c r="W7" s="227"/>
    </row>
    <row r="8" spans="2:23" hidden="1">
      <c r="B8" s="181" t="s">
        <v>167</v>
      </c>
      <c r="C8" s="228">
        <v>45342</v>
      </c>
      <c r="D8" s="181">
        <v>456</v>
      </c>
      <c r="E8" s="181" t="s">
        <v>166</v>
      </c>
      <c r="F8" s="181" t="s">
        <v>171</v>
      </c>
      <c r="G8" s="181">
        <v>968274</v>
      </c>
      <c r="H8" s="439"/>
      <c r="I8" s="181"/>
      <c r="J8" s="439"/>
      <c r="K8" s="446"/>
      <c r="L8" s="250"/>
      <c r="M8" s="250"/>
      <c r="N8" s="250"/>
      <c r="O8" s="250"/>
      <c r="S8" s="180" t="s">
        <v>162</v>
      </c>
      <c r="T8" s="181" t="e">
        <f>H5+H13:H237</f>
        <v>#VALUE!</v>
      </c>
      <c r="U8" s="181">
        <f>(SUM(I5:I20))</f>
        <v>0</v>
      </c>
      <c r="V8" s="181" t="e">
        <f>T8-U8</f>
        <v>#VALUE!</v>
      </c>
      <c r="W8" s="227" t="e">
        <f>U8/T8</f>
        <v>#VALUE!</v>
      </c>
    </row>
    <row r="9" spans="2:23" hidden="1">
      <c r="B9" s="181" t="s">
        <v>167</v>
      </c>
      <c r="C9" s="228">
        <v>45342</v>
      </c>
      <c r="D9" s="181">
        <v>456</v>
      </c>
      <c r="E9" s="181" t="s">
        <v>173</v>
      </c>
      <c r="F9" s="181" t="s">
        <v>172</v>
      </c>
      <c r="G9" s="181">
        <v>968447</v>
      </c>
      <c r="H9" s="439"/>
      <c r="I9" s="181"/>
      <c r="J9" s="439"/>
      <c r="K9" s="446"/>
      <c r="L9" s="250"/>
      <c r="M9" s="250"/>
      <c r="N9" s="250"/>
      <c r="O9" s="250"/>
      <c r="S9" s="180" t="s">
        <v>163</v>
      </c>
      <c r="T9" s="181"/>
      <c r="U9" s="181"/>
      <c r="V9" s="181"/>
      <c r="W9" s="227"/>
    </row>
    <row r="10" spans="2:23" hidden="1">
      <c r="B10" s="181" t="s">
        <v>167</v>
      </c>
      <c r="C10" s="228">
        <v>45342</v>
      </c>
      <c r="D10" s="181">
        <v>456</v>
      </c>
      <c r="E10" s="181" t="s">
        <v>173</v>
      </c>
      <c r="F10" s="181" t="s">
        <v>174</v>
      </c>
      <c r="G10" s="181">
        <v>969068</v>
      </c>
      <c r="H10" s="439"/>
      <c r="I10" s="181"/>
      <c r="J10" s="439"/>
      <c r="K10" s="446"/>
      <c r="L10" s="250"/>
      <c r="M10" s="250"/>
      <c r="N10" s="250"/>
      <c r="O10" s="250"/>
      <c r="S10" s="180" t="s">
        <v>164</v>
      </c>
      <c r="T10" s="181"/>
      <c r="U10" s="181"/>
      <c r="V10" s="181"/>
      <c r="W10" s="227"/>
    </row>
    <row r="11" spans="2:23" hidden="1">
      <c r="B11" s="181" t="s">
        <v>167</v>
      </c>
      <c r="C11" s="228">
        <v>45342</v>
      </c>
      <c r="D11" s="181">
        <v>456</v>
      </c>
      <c r="E11" s="181" t="s">
        <v>166</v>
      </c>
      <c r="F11" s="181" t="s">
        <v>175</v>
      </c>
      <c r="G11" s="181">
        <v>699329</v>
      </c>
      <c r="H11" s="439"/>
      <c r="I11" s="181"/>
      <c r="J11" s="439"/>
      <c r="K11" s="446"/>
      <c r="L11" s="250"/>
      <c r="M11" s="250"/>
      <c r="N11" s="250"/>
      <c r="O11" s="250"/>
      <c r="S11" s="180" t="s">
        <v>165</v>
      </c>
      <c r="T11" s="181"/>
      <c r="U11" s="181"/>
      <c r="V11" s="181"/>
      <c r="W11" s="227"/>
    </row>
    <row r="12" spans="2:23" hidden="1">
      <c r="B12" s="181" t="s">
        <v>167</v>
      </c>
      <c r="C12" s="228">
        <v>45342</v>
      </c>
      <c r="D12" s="181">
        <v>456</v>
      </c>
      <c r="E12" s="181" t="s">
        <v>166</v>
      </c>
      <c r="F12" s="181" t="s">
        <v>176</v>
      </c>
      <c r="G12" s="181">
        <v>700798</v>
      </c>
      <c r="H12" s="439"/>
      <c r="I12" s="181"/>
      <c r="J12" s="439"/>
      <c r="K12" s="446"/>
      <c r="L12" s="250"/>
      <c r="M12" s="250"/>
      <c r="N12" s="250"/>
      <c r="O12" s="250"/>
    </row>
    <row r="13" spans="2:23" hidden="1">
      <c r="B13" s="232" t="s">
        <v>167</v>
      </c>
      <c r="C13" s="233">
        <v>45348</v>
      </c>
      <c r="D13" s="232">
        <v>494</v>
      </c>
      <c r="E13" s="232" t="s">
        <v>166</v>
      </c>
      <c r="F13" s="232" t="s">
        <v>168</v>
      </c>
      <c r="G13" s="232">
        <v>701438</v>
      </c>
      <c r="H13" s="440">
        <v>16731.47</v>
      </c>
      <c r="I13" s="232"/>
      <c r="J13" s="440">
        <f>H13-(SUM(I13:I20))</f>
        <v>16731.47</v>
      </c>
      <c r="K13" s="443">
        <f>(SUM(I13:I20))/H13</f>
        <v>0</v>
      </c>
      <c r="L13" s="250"/>
      <c r="M13" s="250"/>
      <c r="N13" s="250"/>
      <c r="O13" s="250"/>
    </row>
    <row r="14" spans="2:23" hidden="1">
      <c r="B14" s="232" t="s">
        <v>167</v>
      </c>
      <c r="C14" s="233">
        <v>45348</v>
      </c>
      <c r="D14" s="232">
        <v>494</v>
      </c>
      <c r="E14" s="232" t="s">
        <v>166</v>
      </c>
      <c r="F14" s="232" t="s">
        <v>169</v>
      </c>
      <c r="G14" s="232">
        <v>699687</v>
      </c>
      <c r="H14" s="440"/>
      <c r="I14" s="232"/>
      <c r="J14" s="440"/>
      <c r="K14" s="443"/>
      <c r="L14" s="250"/>
      <c r="M14" s="250"/>
      <c r="N14" s="250"/>
      <c r="O14" s="250"/>
    </row>
    <row r="15" spans="2:23" hidden="1">
      <c r="B15" s="232" t="s">
        <v>167</v>
      </c>
      <c r="C15" s="233">
        <v>45348</v>
      </c>
      <c r="D15" s="232">
        <v>494</v>
      </c>
      <c r="E15" s="232" t="s">
        <v>166</v>
      </c>
      <c r="F15" s="232" t="s">
        <v>170</v>
      </c>
      <c r="G15" s="232">
        <v>967544</v>
      </c>
      <c r="H15" s="440"/>
      <c r="I15" s="232"/>
      <c r="J15" s="440"/>
      <c r="K15" s="443"/>
      <c r="L15" s="250"/>
      <c r="M15" s="250"/>
      <c r="N15" s="250"/>
      <c r="O15" s="250"/>
    </row>
    <row r="16" spans="2:23" hidden="1">
      <c r="B16" s="232" t="s">
        <v>167</v>
      </c>
      <c r="C16" s="233">
        <v>45348</v>
      </c>
      <c r="D16" s="232">
        <v>494</v>
      </c>
      <c r="E16" s="232" t="s">
        <v>166</v>
      </c>
      <c r="F16" s="232" t="s">
        <v>171</v>
      </c>
      <c r="G16" s="232">
        <v>968274</v>
      </c>
      <c r="H16" s="440"/>
      <c r="I16" s="232"/>
      <c r="J16" s="440"/>
      <c r="K16" s="443"/>
      <c r="L16" s="250"/>
      <c r="M16" s="250"/>
      <c r="N16" s="250"/>
      <c r="O16" s="250"/>
    </row>
    <row r="17" spans="2:15" hidden="1">
      <c r="B17" s="232" t="s">
        <v>167</v>
      </c>
      <c r="C17" s="233">
        <v>45348</v>
      </c>
      <c r="D17" s="232">
        <v>494</v>
      </c>
      <c r="E17" s="232" t="s">
        <v>173</v>
      </c>
      <c r="F17" s="232" t="s">
        <v>172</v>
      </c>
      <c r="G17" s="232">
        <v>968447</v>
      </c>
      <c r="H17" s="440"/>
      <c r="I17" s="232"/>
      <c r="J17" s="440"/>
      <c r="K17" s="443"/>
      <c r="L17" s="250"/>
      <c r="M17" s="250"/>
      <c r="N17" s="250"/>
      <c r="O17" s="250"/>
    </row>
    <row r="18" spans="2:15" hidden="1">
      <c r="B18" s="232" t="s">
        <v>167</v>
      </c>
      <c r="C18" s="233">
        <v>45348</v>
      </c>
      <c r="D18" s="232">
        <v>494</v>
      </c>
      <c r="E18" s="232" t="s">
        <v>173</v>
      </c>
      <c r="F18" s="232" t="s">
        <v>174</v>
      </c>
      <c r="G18" s="232">
        <v>969068</v>
      </c>
      <c r="H18" s="440"/>
      <c r="I18" s="232"/>
      <c r="J18" s="440"/>
      <c r="K18" s="443"/>
      <c r="L18" s="250"/>
      <c r="M18" s="250"/>
      <c r="N18" s="250"/>
      <c r="O18" s="250"/>
    </row>
    <row r="19" spans="2:15" hidden="1">
      <c r="B19" s="232" t="s">
        <v>167</v>
      </c>
      <c r="C19" s="233">
        <v>45348</v>
      </c>
      <c r="D19" s="232">
        <v>494</v>
      </c>
      <c r="E19" s="232" t="s">
        <v>166</v>
      </c>
      <c r="F19" s="232" t="s">
        <v>175</v>
      </c>
      <c r="G19" s="232">
        <v>699329</v>
      </c>
      <c r="H19" s="440"/>
      <c r="I19" s="232"/>
      <c r="J19" s="440"/>
      <c r="K19" s="443"/>
      <c r="L19" s="250"/>
      <c r="M19" s="250"/>
      <c r="N19" s="250"/>
      <c r="O19" s="250"/>
    </row>
    <row r="20" spans="2:15" hidden="1">
      <c r="B20" s="232" t="s">
        <v>167</v>
      </c>
      <c r="C20" s="233">
        <v>45348</v>
      </c>
      <c r="D20" s="232">
        <v>494</v>
      </c>
      <c r="E20" s="232" t="s">
        <v>166</v>
      </c>
      <c r="F20" s="232" t="s">
        <v>176</v>
      </c>
      <c r="G20" s="232">
        <v>700798</v>
      </c>
      <c r="H20" s="440"/>
      <c r="I20" s="232"/>
      <c r="J20" s="440"/>
      <c r="K20" s="443"/>
      <c r="L20" s="250"/>
      <c r="M20" s="250"/>
      <c r="N20" s="250"/>
      <c r="O20" s="250"/>
    </row>
    <row r="21" spans="2:15" hidden="1">
      <c r="B21" s="250" t="s">
        <v>167</v>
      </c>
      <c r="C21" s="228">
        <v>45400</v>
      </c>
      <c r="D21" s="250">
        <v>968</v>
      </c>
      <c r="E21" s="250" t="s">
        <v>11</v>
      </c>
      <c r="F21" s="250" t="s">
        <v>177</v>
      </c>
      <c r="G21" s="250">
        <v>969394</v>
      </c>
      <c r="H21" s="439"/>
      <c r="I21" s="250"/>
      <c r="J21" s="250"/>
      <c r="K21" s="259"/>
      <c r="L21" s="439">
        <v>890</v>
      </c>
      <c r="M21" s="250"/>
      <c r="N21" s="414">
        <f>L21-(SUM(M21:M24))</f>
        <v>605.04</v>
      </c>
      <c r="O21" s="443">
        <f>(SUM(M21:M25)/N21)</f>
        <v>0.54436896734100226</v>
      </c>
    </row>
    <row r="22" spans="2:15" hidden="1">
      <c r="B22" s="256" t="s">
        <v>167</v>
      </c>
      <c r="C22" s="228">
        <v>45400</v>
      </c>
      <c r="D22" s="250">
        <v>968</v>
      </c>
      <c r="E22" s="250" t="s">
        <v>11</v>
      </c>
      <c r="F22" s="250" t="s">
        <v>178</v>
      </c>
      <c r="G22" s="250">
        <v>968796</v>
      </c>
      <c r="H22" s="439"/>
      <c r="I22" s="250"/>
      <c r="J22" s="250"/>
      <c r="K22" s="259"/>
      <c r="L22" s="439"/>
      <c r="M22" s="250">
        <v>10.015000000000001</v>
      </c>
      <c r="N22" s="415"/>
      <c r="O22" s="443"/>
    </row>
    <row r="23" spans="2:15" hidden="1">
      <c r="B23" s="256" t="s">
        <v>167</v>
      </c>
      <c r="C23" s="228">
        <v>45400</v>
      </c>
      <c r="D23" s="250">
        <v>968</v>
      </c>
      <c r="E23" s="250" t="s">
        <v>11</v>
      </c>
      <c r="F23" s="250" t="s">
        <v>179</v>
      </c>
      <c r="G23" s="250">
        <v>701560</v>
      </c>
      <c r="H23" s="439"/>
      <c r="I23" s="250"/>
      <c r="J23" s="250"/>
      <c r="K23" s="259"/>
      <c r="L23" s="439"/>
      <c r="M23" s="250">
        <v>53.29</v>
      </c>
      <c r="N23" s="415"/>
      <c r="O23" s="443"/>
    </row>
    <row r="24" spans="2:15" hidden="1">
      <c r="B24" s="256" t="s">
        <v>167</v>
      </c>
      <c r="C24" s="228">
        <v>45400</v>
      </c>
      <c r="D24" s="250">
        <v>968</v>
      </c>
      <c r="E24" s="250" t="s">
        <v>11</v>
      </c>
      <c r="F24" s="250" t="s">
        <v>180</v>
      </c>
      <c r="G24" s="250">
        <v>701277</v>
      </c>
      <c r="H24" s="439"/>
      <c r="I24" s="250"/>
      <c r="J24" s="250"/>
      <c r="K24" s="259"/>
      <c r="L24" s="439"/>
      <c r="M24" s="250">
        <v>221.655</v>
      </c>
      <c r="N24" s="415"/>
      <c r="O24" s="443"/>
    </row>
    <row r="25" spans="2:15" hidden="1">
      <c r="B25" s="256" t="s">
        <v>167</v>
      </c>
      <c r="C25" s="228">
        <v>45400</v>
      </c>
      <c r="D25" s="250">
        <v>968</v>
      </c>
      <c r="E25" s="250" t="s">
        <v>11</v>
      </c>
      <c r="F25" s="250" t="s">
        <v>181</v>
      </c>
      <c r="G25" s="250">
        <v>697270</v>
      </c>
      <c r="H25" s="439"/>
      <c r="I25" s="250"/>
      <c r="J25" s="250"/>
      <c r="K25" s="259"/>
      <c r="L25" s="439"/>
      <c r="M25" s="250">
        <v>44.405000000000001</v>
      </c>
      <c r="N25" s="416"/>
      <c r="O25" s="443"/>
    </row>
    <row r="26" spans="2:15" hidden="1">
      <c r="B26" s="260" t="s">
        <v>167</v>
      </c>
      <c r="C26" s="262">
        <v>45400</v>
      </c>
      <c r="D26" s="260">
        <v>973</v>
      </c>
      <c r="E26" s="260" t="s">
        <v>12</v>
      </c>
      <c r="F26" s="260" t="s">
        <v>182</v>
      </c>
      <c r="G26" s="260">
        <v>698764</v>
      </c>
      <c r="H26" s="260"/>
      <c r="I26" s="260"/>
      <c r="J26" s="260"/>
      <c r="K26" s="260"/>
      <c r="L26" s="442">
        <v>380</v>
      </c>
      <c r="M26" s="260"/>
      <c r="N26" s="439">
        <f>L26-(SUM(M26:M49))</f>
        <v>345.61799999999999</v>
      </c>
      <c r="O26" s="441">
        <f>(SUM(M26:M49)/N26)</f>
        <v>9.9479772465554478E-2</v>
      </c>
    </row>
    <row r="27" spans="2:15" hidden="1">
      <c r="B27" s="260" t="s">
        <v>167</v>
      </c>
      <c r="C27" s="262">
        <v>45400</v>
      </c>
      <c r="D27" s="260">
        <v>973</v>
      </c>
      <c r="E27" s="260" t="s">
        <v>12</v>
      </c>
      <c r="F27" s="260" t="s">
        <v>183</v>
      </c>
      <c r="G27" s="260">
        <v>697578</v>
      </c>
      <c r="H27" s="260"/>
      <c r="I27" s="260"/>
      <c r="J27" s="260"/>
      <c r="K27" s="260"/>
      <c r="L27" s="442"/>
      <c r="M27" s="260">
        <v>1.167</v>
      </c>
      <c r="N27" s="439"/>
      <c r="O27" s="441"/>
    </row>
    <row r="28" spans="2:15" hidden="1">
      <c r="B28" s="260" t="s">
        <v>167</v>
      </c>
      <c r="C28" s="262">
        <v>45400</v>
      </c>
      <c r="D28" s="385">
        <v>973</v>
      </c>
      <c r="E28" s="260" t="s">
        <v>12</v>
      </c>
      <c r="F28" s="260" t="s">
        <v>184</v>
      </c>
      <c r="G28" s="260">
        <v>965267</v>
      </c>
      <c r="H28" s="260"/>
      <c r="I28" s="260"/>
      <c r="J28" s="260"/>
      <c r="K28" s="260"/>
      <c r="L28" s="442"/>
      <c r="M28" s="260">
        <v>19.814</v>
      </c>
      <c r="N28" s="439"/>
      <c r="O28" s="441"/>
    </row>
    <row r="29" spans="2:15" hidden="1">
      <c r="B29" s="260" t="s">
        <v>167</v>
      </c>
      <c r="C29" s="262">
        <v>45400</v>
      </c>
      <c r="D29" s="260">
        <v>973</v>
      </c>
      <c r="E29" s="260" t="s">
        <v>12</v>
      </c>
      <c r="F29" s="260" t="s">
        <v>185</v>
      </c>
      <c r="G29" s="260">
        <v>969467</v>
      </c>
      <c r="H29" s="260"/>
      <c r="I29" s="260"/>
      <c r="J29" s="260"/>
      <c r="K29" s="260"/>
      <c r="L29" s="442"/>
      <c r="M29" s="260"/>
      <c r="N29" s="439"/>
      <c r="O29" s="441"/>
    </row>
    <row r="30" spans="2:15" hidden="1">
      <c r="B30" s="260" t="s">
        <v>167</v>
      </c>
      <c r="C30" s="262">
        <v>45400</v>
      </c>
      <c r="D30" s="260">
        <v>973</v>
      </c>
      <c r="E30" s="260" t="s">
        <v>12</v>
      </c>
      <c r="F30" s="260" t="s">
        <v>186</v>
      </c>
      <c r="G30" s="260">
        <v>901588</v>
      </c>
      <c r="H30" s="260"/>
      <c r="I30" s="260"/>
      <c r="J30" s="260"/>
      <c r="K30" s="260"/>
      <c r="L30" s="442"/>
      <c r="M30" s="260"/>
      <c r="N30" s="439"/>
      <c r="O30" s="441"/>
    </row>
    <row r="31" spans="2:15" hidden="1">
      <c r="B31" s="260" t="s">
        <v>167</v>
      </c>
      <c r="C31" s="262">
        <v>45400</v>
      </c>
      <c r="D31" s="260">
        <v>973</v>
      </c>
      <c r="E31" s="260" t="s">
        <v>12</v>
      </c>
      <c r="F31" s="261" t="s">
        <v>187</v>
      </c>
      <c r="G31" s="260">
        <v>966826</v>
      </c>
      <c r="H31" s="260"/>
      <c r="I31" s="260"/>
      <c r="J31" s="260"/>
      <c r="K31" s="260"/>
      <c r="L31" s="442"/>
      <c r="M31" s="260"/>
      <c r="N31" s="439"/>
      <c r="O31" s="441"/>
    </row>
    <row r="32" spans="2:15" hidden="1">
      <c r="B32" s="260" t="s">
        <v>167</v>
      </c>
      <c r="C32" s="262">
        <v>45400</v>
      </c>
      <c r="D32" s="260">
        <v>973</v>
      </c>
      <c r="E32" s="260" t="s">
        <v>12</v>
      </c>
      <c r="F32" s="260" t="s">
        <v>188</v>
      </c>
      <c r="G32" s="260">
        <v>969425</v>
      </c>
      <c r="H32" s="260"/>
      <c r="I32" s="260"/>
      <c r="J32" s="260"/>
      <c r="K32" s="260"/>
      <c r="L32" s="442"/>
      <c r="M32" s="260"/>
      <c r="N32" s="439"/>
      <c r="O32" s="441"/>
    </row>
    <row r="33" spans="2:15" hidden="1">
      <c r="B33" s="260" t="s">
        <v>167</v>
      </c>
      <c r="C33" s="262">
        <v>45400</v>
      </c>
      <c r="D33" s="260">
        <v>973</v>
      </c>
      <c r="E33" s="260" t="s">
        <v>12</v>
      </c>
      <c r="F33" s="260" t="s">
        <v>189</v>
      </c>
      <c r="G33" s="260">
        <v>969501</v>
      </c>
      <c r="H33" s="260"/>
      <c r="I33" s="260"/>
      <c r="J33" s="260"/>
      <c r="K33" s="260"/>
      <c r="L33" s="442"/>
      <c r="M33" s="260"/>
      <c r="N33" s="439"/>
      <c r="O33" s="441"/>
    </row>
    <row r="34" spans="2:15" hidden="1">
      <c r="B34" s="260" t="s">
        <v>167</v>
      </c>
      <c r="C34" s="262">
        <v>45400</v>
      </c>
      <c r="D34" s="260">
        <v>973</v>
      </c>
      <c r="E34" s="260" t="s">
        <v>12</v>
      </c>
      <c r="F34" s="260" t="s">
        <v>190</v>
      </c>
      <c r="G34" s="260">
        <v>956427</v>
      </c>
      <c r="H34" s="260"/>
      <c r="I34" s="260"/>
      <c r="J34" s="260"/>
      <c r="K34" s="260"/>
      <c r="L34" s="442"/>
      <c r="M34" s="260">
        <v>3.173</v>
      </c>
      <c r="N34" s="439"/>
      <c r="O34" s="441"/>
    </row>
    <row r="35" spans="2:15" hidden="1">
      <c r="B35" s="260" t="s">
        <v>167</v>
      </c>
      <c r="C35" s="262">
        <v>45400</v>
      </c>
      <c r="D35" s="260">
        <v>973</v>
      </c>
      <c r="E35" s="260" t="s">
        <v>12</v>
      </c>
      <c r="F35" s="260" t="s">
        <v>191</v>
      </c>
      <c r="G35" s="260">
        <v>950875</v>
      </c>
      <c r="H35" s="260"/>
      <c r="I35" s="260"/>
      <c r="J35" s="260"/>
      <c r="K35" s="260"/>
      <c r="L35" s="442"/>
      <c r="M35" s="260"/>
      <c r="N35" s="439"/>
      <c r="O35" s="441"/>
    </row>
    <row r="36" spans="2:15" hidden="1">
      <c r="B36" s="260" t="s">
        <v>167</v>
      </c>
      <c r="C36" s="262">
        <v>45400</v>
      </c>
      <c r="D36" s="260">
        <v>973</v>
      </c>
      <c r="E36" s="260" t="s">
        <v>12</v>
      </c>
      <c r="F36" s="260" t="s">
        <v>192</v>
      </c>
      <c r="G36" s="260">
        <v>700755</v>
      </c>
      <c r="H36" s="260"/>
      <c r="I36" s="260"/>
      <c r="J36" s="260"/>
      <c r="K36" s="260"/>
      <c r="L36" s="442"/>
      <c r="M36" s="260"/>
      <c r="N36" s="439"/>
      <c r="O36" s="441"/>
    </row>
    <row r="37" spans="2:15" hidden="1">
      <c r="B37" s="260" t="s">
        <v>167</v>
      </c>
      <c r="C37" s="262">
        <v>45400</v>
      </c>
      <c r="D37" s="260">
        <v>973</v>
      </c>
      <c r="E37" s="260" t="s">
        <v>12</v>
      </c>
      <c r="F37" s="260" t="s">
        <v>193</v>
      </c>
      <c r="G37" s="260">
        <v>699979</v>
      </c>
      <c r="H37" s="260"/>
      <c r="I37" s="260"/>
      <c r="J37" s="260"/>
      <c r="K37" s="260"/>
      <c r="L37" s="442"/>
      <c r="M37" s="260"/>
      <c r="N37" s="439"/>
      <c r="O37" s="441"/>
    </row>
    <row r="38" spans="2:15" hidden="1">
      <c r="B38" s="260" t="s">
        <v>167</v>
      </c>
      <c r="C38" s="262">
        <v>45400</v>
      </c>
      <c r="D38" s="260">
        <v>973</v>
      </c>
      <c r="E38" s="260" t="s">
        <v>12</v>
      </c>
      <c r="F38" s="260" t="s">
        <v>194</v>
      </c>
      <c r="G38" s="260">
        <v>964673</v>
      </c>
      <c r="H38" s="260"/>
      <c r="I38" s="260"/>
      <c r="J38" s="260"/>
      <c r="K38" s="260"/>
      <c r="L38" s="442"/>
      <c r="M38" s="260"/>
      <c r="N38" s="439"/>
      <c r="O38" s="441"/>
    </row>
    <row r="39" spans="2:15" hidden="1">
      <c r="B39" s="260" t="s">
        <v>167</v>
      </c>
      <c r="C39" s="262">
        <v>45400</v>
      </c>
      <c r="D39" s="260">
        <v>973</v>
      </c>
      <c r="E39" s="260" t="s">
        <v>12</v>
      </c>
      <c r="F39" s="260" t="s">
        <v>195</v>
      </c>
      <c r="G39" s="260">
        <v>923266</v>
      </c>
      <c r="H39" s="260"/>
      <c r="I39" s="260"/>
      <c r="J39" s="260"/>
      <c r="K39" s="260"/>
      <c r="L39" s="442"/>
      <c r="M39" s="260"/>
      <c r="N39" s="439"/>
      <c r="O39" s="441"/>
    </row>
    <row r="40" spans="2:15" hidden="1">
      <c r="B40" s="260" t="s">
        <v>167</v>
      </c>
      <c r="C40" s="262">
        <v>45400</v>
      </c>
      <c r="D40" s="260">
        <v>973</v>
      </c>
      <c r="E40" s="260" t="s">
        <v>12</v>
      </c>
      <c r="F40" s="260" t="s">
        <v>196</v>
      </c>
      <c r="G40" s="260">
        <v>966707</v>
      </c>
      <c r="H40" s="260"/>
      <c r="I40" s="260"/>
      <c r="J40" s="260"/>
      <c r="K40" s="260"/>
      <c r="L40" s="442"/>
      <c r="M40" s="260"/>
      <c r="N40" s="439"/>
      <c r="O40" s="441"/>
    </row>
    <row r="41" spans="2:15" hidden="1">
      <c r="B41" s="260" t="s">
        <v>167</v>
      </c>
      <c r="C41" s="262">
        <v>45400</v>
      </c>
      <c r="D41" s="260">
        <v>973</v>
      </c>
      <c r="E41" s="260" t="s">
        <v>12</v>
      </c>
      <c r="F41" s="260" t="s">
        <v>197</v>
      </c>
      <c r="G41" s="260">
        <v>957989</v>
      </c>
      <c r="H41" s="260"/>
      <c r="I41" s="260"/>
      <c r="J41" s="260"/>
      <c r="K41" s="260"/>
      <c r="L41" s="442"/>
      <c r="M41" s="260"/>
      <c r="N41" s="439"/>
      <c r="O41" s="441"/>
    </row>
    <row r="42" spans="2:15" hidden="1">
      <c r="B42" s="260" t="s">
        <v>167</v>
      </c>
      <c r="C42" s="262">
        <v>45400</v>
      </c>
      <c r="D42" s="260">
        <v>973</v>
      </c>
      <c r="E42" s="260" t="s">
        <v>12</v>
      </c>
      <c r="F42" s="260" t="s">
        <v>198</v>
      </c>
      <c r="G42" s="260">
        <v>701336</v>
      </c>
      <c r="H42" s="260"/>
      <c r="I42" s="260"/>
      <c r="J42" s="260"/>
      <c r="K42" s="260"/>
      <c r="L42" s="442"/>
      <c r="M42" s="260">
        <v>1.5720000000000001</v>
      </c>
      <c r="N42" s="439"/>
      <c r="O42" s="441"/>
    </row>
    <row r="43" spans="2:15" hidden="1">
      <c r="B43" s="260" t="s">
        <v>167</v>
      </c>
      <c r="C43" s="262">
        <v>45400</v>
      </c>
      <c r="D43" s="260">
        <v>973</v>
      </c>
      <c r="E43" s="260" t="s">
        <v>12</v>
      </c>
      <c r="F43" s="260" t="s">
        <v>199</v>
      </c>
      <c r="G43" s="260">
        <v>700697</v>
      </c>
      <c r="H43" s="260"/>
      <c r="I43" s="260"/>
      <c r="J43" s="260"/>
      <c r="K43" s="260"/>
      <c r="L43" s="442"/>
      <c r="M43" s="260"/>
      <c r="N43" s="439"/>
      <c r="O43" s="441"/>
    </row>
    <row r="44" spans="2:15" hidden="1">
      <c r="B44" s="295" t="s">
        <v>167</v>
      </c>
      <c r="C44" s="262">
        <v>45400</v>
      </c>
      <c r="D44" s="295">
        <v>973</v>
      </c>
      <c r="E44" s="295" t="s">
        <v>12</v>
      </c>
      <c r="F44" s="298" t="s">
        <v>259</v>
      </c>
      <c r="G44" s="298">
        <v>953023</v>
      </c>
      <c r="H44" s="295"/>
      <c r="I44" s="295"/>
      <c r="J44" s="295"/>
      <c r="K44" s="295"/>
      <c r="L44" s="442"/>
      <c r="M44" s="295">
        <v>8.3350000000000009</v>
      </c>
      <c r="N44" s="439"/>
      <c r="O44" s="441"/>
    </row>
    <row r="45" spans="2:15" hidden="1">
      <c r="B45" s="260" t="s">
        <v>167</v>
      </c>
      <c r="C45" s="262">
        <v>45400</v>
      </c>
      <c r="D45" s="260">
        <v>973</v>
      </c>
      <c r="E45" s="260" t="s">
        <v>12</v>
      </c>
      <c r="F45" s="260" t="s">
        <v>200</v>
      </c>
      <c r="G45" s="260">
        <v>36113</v>
      </c>
      <c r="H45" s="260"/>
      <c r="I45" s="260"/>
      <c r="J45" s="260"/>
      <c r="K45" s="260"/>
      <c r="L45" s="442"/>
      <c r="M45" s="260"/>
      <c r="N45" s="439"/>
      <c r="O45" s="441"/>
    </row>
    <row r="46" spans="2:15" hidden="1">
      <c r="B46" s="260" t="s">
        <v>167</v>
      </c>
      <c r="C46" s="262">
        <v>45400</v>
      </c>
      <c r="D46" s="260">
        <v>973</v>
      </c>
      <c r="E46" s="260" t="s">
        <v>12</v>
      </c>
      <c r="F46" s="260" t="s">
        <v>201</v>
      </c>
      <c r="G46" s="260">
        <v>701618</v>
      </c>
      <c r="H46" s="260"/>
      <c r="I46" s="260"/>
      <c r="J46" s="260"/>
      <c r="K46" s="260"/>
      <c r="L46" s="442"/>
      <c r="M46" s="260"/>
      <c r="N46" s="439"/>
      <c r="O46" s="441"/>
    </row>
    <row r="47" spans="2:15" hidden="1">
      <c r="B47" s="295" t="s">
        <v>167</v>
      </c>
      <c r="C47" s="262">
        <v>45400</v>
      </c>
      <c r="D47" s="295">
        <v>973</v>
      </c>
      <c r="E47" s="295" t="s">
        <v>12</v>
      </c>
      <c r="F47" s="298" t="s">
        <v>260</v>
      </c>
      <c r="G47" s="298">
        <v>701450</v>
      </c>
      <c r="H47" s="295"/>
      <c r="I47" s="295"/>
      <c r="J47" s="295"/>
      <c r="K47" s="295"/>
      <c r="L47" s="442"/>
      <c r="M47" s="295"/>
      <c r="N47" s="439"/>
      <c r="O47" s="441"/>
    </row>
    <row r="48" spans="2:15" hidden="1">
      <c r="B48" s="295" t="s">
        <v>167</v>
      </c>
      <c r="C48" s="262">
        <v>45400</v>
      </c>
      <c r="D48" s="295">
        <v>973</v>
      </c>
      <c r="E48" s="295" t="s">
        <v>12</v>
      </c>
      <c r="F48" s="298" t="s">
        <v>261</v>
      </c>
      <c r="G48" s="298">
        <v>700979</v>
      </c>
      <c r="H48" s="295"/>
      <c r="I48" s="295"/>
      <c r="J48" s="295"/>
      <c r="K48" s="295"/>
      <c r="L48" s="442"/>
      <c r="M48" s="295"/>
      <c r="N48" s="439"/>
      <c r="O48" s="441"/>
    </row>
    <row r="49" spans="2:18" hidden="1">
      <c r="B49" s="260" t="s">
        <v>167</v>
      </c>
      <c r="C49" s="262">
        <v>45400</v>
      </c>
      <c r="D49" s="260">
        <v>973</v>
      </c>
      <c r="E49" s="260" t="s">
        <v>12</v>
      </c>
      <c r="F49" s="298" t="s">
        <v>262</v>
      </c>
      <c r="G49" s="298">
        <v>700784</v>
      </c>
      <c r="H49" s="260"/>
      <c r="I49" s="260"/>
      <c r="J49" s="260"/>
      <c r="K49" s="260"/>
      <c r="L49" s="442"/>
      <c r="M49" s="260">
        <v>0.32100000000000001</v>
      </c>
      <c r="N49" s="439"/>
      <c r="O49" s="441"/>
    </row>
    <row r="50" spans="2:18" hidden="1">
      <c r="B50" s="263" t="s">
        <v>167</v>
      </c>
      <c r="C50" s="264">
        <v>45408</v>
      </c>
      <c r="D50" s="263">
        <v>1062</v>
      </c>
      <c r="E50" s="263" t="s">
        <v>87</v>
      </c>
      <c r="F50" s="263" t="s">
        <v>202</v>
      </c>
      <c r="G50" s="263">
        <v>701521</v>
      </c>
      <c r="H50" s="436">
        <v>100000</v>
      </c>
      <c r="I50" s="263"/>
      <c r="J50" s="436">
        <f>H50-(SUM(I50:I92))</f>
        <v>100000</v>
      </c>
      <c r="K50" s="430">
        <f>(SUM(I50:I92))/H50</f>
        <v>0</v>
      </c>
      <c r="L50" s="263"/>
      <c r="M50" s="263"/>
      <c r="N50" s="263"/>
      <c r="O50" s="263"/>
    </row>
    <row r="51" spans="2:18" hidden="1">
      <c r="B51" s="263" t="s">
        <v>167</v>
      </c>
      <c r="C51" s="264">
        <v>45408</v>
      </c>
      <c r="D51" s="263">
        <v>1062</v>
      </c>
      <c r="E51" s="263" t="s">
        <v>87</v>
      </c>
      <c r="F51" s="263" t="s">
        <v>203</v>
      </c>
      <c r="G51" s="263">
        <v>965747</v>
      </c>
      <c r="H51" s="437"/>
      <c r="I51" s="263"/>
      <c r="J51" s="437"/>
      <c r="K51" s="431"/>
      <c r="L51" s="263"/>
      <c r="M51" s="263"/>
      <c r="N51" s="263"/>
      <c r="O51" s="263"/>
      <c r="Q51" s="266"/>
      <c r="R51" s="267"/>
    </row>
    <row r="52" spans="2:18" hidden="1">
      <c r="B52" s="263" t="s">
        <v>167</v>
      </c>
      <c r="C52" s="264">
        <v>45408</v>
      </c>
      <c r="D52" s="263">
        <v>1062</v>
      </c>
      <c r="E52" s="263" t="s">
        <v>87</v>
      </c>
      <c r="F52" s="263" t="s">
        <v>204</v>
      </c>
      <c r="G52" s="263">
        <v>956794</v>
      </c>
      <c r="H52" s="437"/>
      <c r="I52" s="263"/>
      <c r="J52" s="437"/>
      <c r="K52" s="431"/>
      <c r="L52" s="263"/>
      <c r="M52" s="263"/>
      <c r="N52" s="263"/>
      <c r="O52" s="263"/>
      <c r="Q52" s="268"/>
      <c r="R52" s="269"/>
    </row>
    <row r="53" spans="2:18" hidden="1">
      <c r="B53" s="263" t="s">
        <v>167</v>
      </c>
      <c r="C53" s="264">
        <v>45408</v>
      </c>
      <c r="D53" s="263">
        <v>1062</v>
      </c>
      <c r="E53" s="263" t="s">
        <v>87</v>
      </c>
      <c r="F53" s="263" t="s">
        <v>205</v>
      </c>
      <c r="G53" s="263">
        <v>700133</v>
      </c>
      <c r="H53" s="437"/>
      <c r="I53" s="263"/>
      <c r="J53" s="437"/>
      <c r="K53" s="431"/>
      <c r="L53" s="263"/>
      <c r="M53" s="263"/>
      <c r="N53" s="263"/>
      <c r="O53" s="263"/>
      <c r="Q53" s="266"/>
      <c r="R53" s="267"/>
    </row>
    <row r="54" spans="2:18" hidden="1">
      <c r="B54" s="263" t="s">
        <v>167</v>
      </c>
      <c r="C54" s="264">
        <v>45408</v>
      </c>
      <c r="D54" s="263">
        <v>1062</v>
      </c>
      <c r="E54" s="263" t="s">
        <v>87</v>
      </c>
      <c r="F54" s="263" t="s">
        <v>206</v>
      </c>
      <c r="G54" s="263">
        <v>963544</v>
      </c>
      <c r="H54" s="437"/>
      <c r="I54" s="263"/>
      <c r="J54" s="437"/>
      <c r="K54" s="431"/>
      <c r="L54" s="263"/>
      <c r="M54" s="263"/>
      <c r="N54" s="263"/>
      <c r="O54" s="263"/>
      <c r="Q54" s="266"/>
      <c r="R54" s="267"/>
    </row>
    <row r="55" spans="2:18" hidden="1">
      <c r="B55" s="263" t="s">
        <v>167</v>
      </c>
      <c r="C55" s="264">
        <v>45408</v>
      </c>
      <c r="D55" s="263">
        <v>1062</v>
      </c>
      <c r="E55" s="263" t="s">
        <v>87</v>
      </c>
      <c r="F55" s="263" t="s">
        <v>207</v>
      </c>
      <c r="G55" s="263">
        <v>963409</v>
      </c>
      <c r="H55" s="437"/>
      <c r="I55" s="263"/>
      <c r="J55" s="437"/>
      <c r="K55" s="431"/>
      <c r="L55" s="263"/>
      <c r="M55" s="263"/>
      <c r="N55" s="263"/>
      <c r="O55" s="263"/>
      <c r="Q55" s="268"/>
      <c r="R55" s="269"/>
    </row>
    <row r="56" spans="2:18" hidden="1">
      <c r="B56" s="263" t="s">
        <v>167</v>
      </c>
      <c r="C56" s="264">
        <v>45408</v>
      </c>
      <c r="D56" s="263">
        <v>1062</v>
      </c>
      <c r="E56" s="263" t="s">
        <v>87</v>
      </c>
      <c r="F56" s="263" t="s">
        <v>208</v>
      </c>
      <c r="G56" s="263">
        <v>966363</v>
      </c>
      <c r="H56" s="437"/>
      <c r="I56" s="263"/>
      <c r="J56" s="437"/>
      <c r="K56" s="431"/>
      <c r="L56" s="263"/>
      <c r="M56" s="263"/>
      <c r="N56" s="263"/>
      <c r="O56" s="263"/>
      <c r="Q56" s="266"/>
      <c r="R56" s="267"/>
    </row>
    <row r="57" spans="2:18" hidden="1">
      <c r="B57" s="280" t="s">
        <v>167</v>
      </c>
      <c r="C57" s="281">
        <v>45408</v>
      </c>
      <c r="D57" s="280">
        <v>1062</v>
      </c>
      <c r="E57" s="263" t="s">
        <v>87</v>
      </c>
      <c r="F57" s="263" t="s">
        <v>209</v>
      </c>
      <c r="G57" s="263">
        <v>701275</v>
      </c>
      <c r="H57" s="437"/>
      <c r="I57" s="263"/>
      <c r="J57" s="437"/>
      <c r="K57" s="431"/>
      <c r="L57" s="280"/>
      <c r="M57" s="280"/>
      <c r="N57" s="280"/>
      <c r="O57" s="280"/>
      <c r="Q57" s="270"/>
      <c r="R57" s="271"/>
    </row>
    <row r="58" spans="2:18" hidden="1">
      <c r="B58" s="263" t="s">
        <v>167</v>
      </c>
      <c r="C58" s="281">
        <v>45408</v>
      </c>
      <c r="D58" s="263">
        <v>1062</v>
      </c>
      <c r="E58" s="263" t="s">
        <v>87</v>
      </c>
      <c r="F58" s="263" t="s">
        <v>210</v>
      </c>
      <c r="G58" s="263">
        <v>699558</v>
      </c>
      <c r="H58" s="437"/>
      <c r="I58" s="263"/>
      <c r="J58" s="437"/>
      <c r="K58" s="431"/>
      <c r="L58" s="263"/>
      <c r="M58" s="263"/>
      <c r="N58" s="263"/>
      <c r="O58" s="263"/>
      <c r="Q58" s="270"/>
      <c r="R58" s="267"/>
    </row>
    <row r="59" spans="2:18" hidden="1">
      <c r="B59" s="263" t="s">
        <v>167</v>
      </c>
      <c r="C59" s="281">
        <v>45408</v>
      </c>
      <c r="D59" s="263">
        <v>1062</v>
      </c>
      <c r="E59" s="263" t="s">
        <v>87</v>
      </c>
      <c r="F59" s="263" t="s">
        <v>211</v>
      </c>
      <c r="G59" s="263">
        <v>955856</v>
      </c>
      <c r="H59" s="437"/>
      <c r="I59" s="263"/>
      <c r="J59" s="437"/>
      <c r="K59" s="431"/>
      <c r="L59" s="263"/>
      <c r="M59" s="263"/>
      <c r="N59" s="263"/>
      <c r="O59" s="263"/>
      <c r="Q59" s="270"/>
      <c r="R59" s="271"/>
    </row>
    <row r="60" spans="2:18" hidden="1">
      <c r="B60" s="263" t="s">
        <v>167</v>
      </c>
      <c r="C60" s="281">
        <v>45408</v>
      </c>
      <c r="D60" s="263">
        <v>1062</v>
      </c>
      <c r="E60" s="263" t="s">
        <v>87</v>
      </c>
      <c r="F60" s="263" t="s">
        <v>212</v>
      </c>
      <c r="G60" s="263">
        <v>699580</v>
      </c>
      <c r="H60" s="437"/>
      <c r="I60" s="263"/>
      <c r="J60" s="437"/>
      <c r="K60" s="431"/>
      <c r="L60" s="263"/>
      <c r="M60" s="263"/>
      <c r="N60" s="263"/>
      <c r="O60" s="263"/>
      <c r="Q60" s="270"/>
      <c r="R60" s="271"/>
    </row>
    <row r="61" spans="2:18" hidden="1">
      <c r="B61" s="263" t="s">
        <v>167</v>
      </c>
      <c r="C61" s="281">
        <v>45408</v>
      </c>
      <c r="D61" s="263">
        <v>1062</v>
      </c>
      <c r="E61" s="263" t="s">
        <v>87</v>
      </c>
      <c r="F61" s="263" t="s">
        <v>213</v>
      </c>
      <c r="G61" s="263">
        <v>969249</v>
      </c>
      <c r="H61" s="437"/>
      <c r="I61" s="263"/>
      <c r="J61" s="437"/>
      <c r="K61" s="431"/>
      <c r="L61" s="263"/>
      <c r="M61" s="263"/>
      <c r="N61" s="263"/>
      <c r="O61" s="263"/>
      <c r="Q61" s="270"/>
      <c r="R61" s="271"/>
    </row>
    <row r="62" spans="2:18" hidden="1">
      <c r="B62" s="263" t="s">
        <v>167</v>
      </c>
      <c r="C62" s="281">
        <v>45408</v>
      </c>
      <c r="D62" s="263">
        <v>1062</v>
      </c>
      <c r="E62" s="263" t="s">
        <v>87</v>
      </c>
      <c r="F62" s="263" t="s">
        <v>214</v>
      </c>
      <c r="G62" s="263">
        <v>701550</v>
      </c>
      <c r="H62" s="437"/>
      <c r="I62" s="263"/>
      <c r="J62" s="437"/>
      <c r="K62" s="431"/>
      <c r="L62" s="263"/>
      <c r="M62" s="263"/>
      <c r="N62" s="263"/>
      <c r="O62" s="263"/>
      <c r="Q62" s="270"/>
      <c r="R62" s="271"/>
    </row>
    <row r="63" spans="2:18" hidden="1">
      <c r="B63" s="263" t="s">
        <v>167</v>
      </c>
      <c r="C63" s="281">
        <v>45408</v>
      </c>
      <c r="D63" s="263">
        <v>1062</v>
      </c>
      <c r="E63" s="263" t="s">
        <v>87</v>
      </c>
      <c r="F63" s="263" t="s">
        <v>215</v>
      </c>
      <c r="G63" s="263">
        <v>702074</v>
      </c>
      <c r="H63" s="437"/>
      <c r="I63" s="263"/>
      <c r="J63" s="437"/>
      <c r="K63" s="431"/>
      <c r="L63" s="263"/>
      <c r="M63" s="263"/>
      <c r="N63" s="263"/>
      <c r="O63" s="263"/>
      <c r="Q63" s="270"/>
      <c r="R63" s="267"/>
    </row>
    <row r="64" spans="2:18" hidden="1">
      <c r="B64" s="263" t="s">
        <v>167</v>
      </c>
      <c r="C64" s="281">
        <v>45408</v>
      </c>
      <c r="D64" s="263">
        <v>1062</v>
      </c>
      <c r="E64" s="263" t="s">
        <v>87</v>
      </c>
      <c r="F64" s="263" t="s">
        <v>216</v>
      </c>
      <c r="G64" s="263">
        <v>964506</v>
      </c>
      <c r="H64" s="437"/>
      <c r="I64" s="263"/>
      <c r="J64" s="437"/>
      <c r="K64" s="431"/>
      <c r="L64" s="263"/>
      <c r="M64" s="263"/>
      <c r="N64" s="263"/>
      <c r="O64" s="263"/>
      <c r="Q64" s="270"/>
      <c r="R64" s="272"/>
    </row>
    <row r="65" spans="2:18" hidden="1">
      <c r="B65" s="263" t="s">
        <v>167</v>
      </c>
      <c r="C65" s="281">
        <v>45408</v>
      </c>
      <c r="D65" s="263">
        <v>1062</v>
      </c>
      <c r="E65" s="263" t="s">
        <v>87</v>
      </c>
      <c r="F65" s="263" t="s">
        <v>217</v>
      </c>
      <c r="G65" s="263">
        <v>969720</v>
      </c>
      <c r="H65" s="437"/>
      <c r="I65" s="263"/>
      <c r="J65" s="437"/>
      <c r="K65" s="431"/>
      <c r="L65" s="263"/>
      <c r="M65" s="263"/>
      <c r="N65" s="263"/>
      <c r="O65" s="263"/>
      <c r="Q65" s="270"/>
      <c r="R65" s="269"/>
    </row>
    <row r="66" spans="2:18" hidden="1">
      <c r="B66" s="263" t="s">
        <v>167</v>
      </c>
      <c r="C66" s="281">
        <v>45408</v>
      </c>
      <c r="D66" s="263">
        <v>1062</v>
      </c>
      <c r="E66" s="263" t="s">
        <v>87</v>
      </c>
      <c r="F66" s="263" t="s">
        <v>218</v>
      </c>
      <c r="G66" s="263">
        <v>967834</v>
      </c>
      <c r="H66" s="437"/>
      <c r="I66" s="263"/>
      <c r="J66" s="437"/>
      <c r="K66" s="431"/>
      <c r="L66" s="263"/>
      <c r="M66" s="263"/>
      <c r="N66" s="263"/>
      <c r="O66" s="263"/>
      <c r="Q66" s="270"/>
      <c r="R66" s="267"/>
    </row>
    <row r="67" spans="2:18" hidden="1">
      <c r="B67" s="263" t="s">
        <v>167</v>
      </c>
      <c r="C67" s="281">
        <v>45408</v>
      </c>
      <c r="D67" s="263">
        <v>1062</v>
      </c>
      <c r="E67" s="263" t="s">
        <v>87</v>
      </c>
      <c r="F67" s="263" t="s">
        <v>219</v>
      </c>
      <c r="G67" s="263">
        <v>966916</v>
      </c>
      <c r="H67" s="437"/>
      <c r="I67" s="263"/>
      <c r="J67" s="437"/>
      <c r="K67" s="431"/>
      <c r="L67" s="263"/>
      <c r="M67" s="263"/>
      <c r="N67" s="263"/>
      <c r="O67" s="263"/>
      <c r="Q67" s="270"/>
      <c r="R67" s="269"/>
    </row>
    <row r="68" spans="2:18" hidden="1">
      <c r="B68" s="263" t="s">
        <v>167</v>
      </c>
      <c r="C68" s="281">
        <v>45408</v>
      </c>
      <c r="D68" s="263">
        <v>1062</v>
      </c>
      <c r="E68" s="263" t="s">
        <v>87</v>
      </c>
      <c r="F68" s="263" t="s">
        <v>220</v>
      </c>
      <c r="G68" s="263">
        <v>698422</v>
      </c>
      <c r="H68" s="437"/>
      <c r="I68" s="263"/>
      <c r="J68" s="437"/>
      <c r="K68" s="431"/>
      <c r="L68" s="263"/>
      <c r="M68" s="263"/>
      <c r="N68" s="263"/>
      <c r="O68" s="263"/>
      <c r="Q68" s="273"/>
      <c r="R68" s="269"/>
    </row>
    <row r="69" spans="2:18" hidden="1">
      <c r="B69" s="263" t="s">
        <v>167</v>
      </c>
      <c r="C69" s="281">
        <v>45408</v>
      </c>
      <c r="D69" s="263">
        <v>1062</v>
      </c>
      <c r="E69" s="263" t="s">
        <v>87</v>
      </c>
      <c r="F69" s="263" t="s">
        <v>221</v>
      </c>
      <c r="G69" s="263">
        <v>952279</v>
      </c>
      <c r="H69" s="437"/>
      <c r="I69" s="263"/>
      <c r="J69" s="437"/>
      <c r="K69" s="431"/>
      <c r="L69" s="263"/>
      <c r="M69" s="263"/>
      <c r="N69" s="263"/>
      <c r="O69" s="263"/>
      <c r="Q69" s="270"/>
      <c r="R69" s="267"/>
    </row>
    <row r="70" spans="2:18" hidden="1">
      <c r="B70" s="263" t="s">
        <v>167</v>
      </c>
      <c r="C70" s="281">
        <v>45408</v>
      </c>
      <c r="D70" s="263">
        <v>1062</v>
      </c>
      <c r="E70" s="263" t="s">
        <v>87</v>
      </c>
      <c r="F70" s="263" t="s">
        <v>222</v>
      </c>
      <c r="G70" s="263">
        <v>969768</v>
      </c>
      <c r="H70" s="437"/>
      <c r="I70" s="263"/>
      <c r="J70" s="437"/>
      <c r="K70" s="431"/>
      <c r="L70" s="263"/>
      <c r="M70" s="263"/>
      <c r="N70" s="263"/>
      <c r="O70" s="263"/>
      <c r="Q70" s="270"/>
      <c r="R70" s="274"/>
    </row>
    <row r="71" spans="2:18" hidden="1">
      <c r="B71" s="263" t="s">
        <v>167</v>
      </c>
      <c r="C71" s="281">
        <v>45408</v>
      </c>
      <c r="D71" s="263">
        <v>1062</v>
      </c>
      <c r="E71" s="263" t="s">
        <v>87</v>
      </c>
      <c r="F71" s="263" t="s">
        <v>223</v>
      </c>
      <c r="G71" s="263">
        <v>961261</v>
      </c>
      <c r="H71" s="437"/>
      <c r="I71" s="263"/>
      <c r="J71" s="437"/>
      <c r="K71" s="431"/>
      <c r="L71" s="263"/>
      <c r="M71" s="263"/>
      <c r="N71" s="263"/>
      <c r="O71" s="263"/>
      <c r="Q71" s="270"/>
      <c r="R71" s="269"/>
    </row>
    <row r="72" spans="2:18" hidden="1">
      <c r="B72" s="263" t="s">
        <v>167</v>
      </c>
      <c r="C72" s="281">
        <v>45408</v>
      </c>
      <c r="D72" s="263">
        <v>1062</v>
      </c>
      <c r="E72" s="263" t="s">
        <v>87</v>
      </c>
      <c r="F72" s="263" t="s">
        <v>224</v>
      </c>
      <c r="G72" s="263">
        <v>700665</v>
      </c>
      <c r="H72" s="437"/>
      <c r="I72" s="263"/>
      <c r="J72" s="437"/>
      <c r="K72" s="431"/>
      <c r="L72" s="263"/>
      <c r="M72" s="263"/>
      <c r="N72" s="263"/>
      <c r="O72" s="263"/>
      <c r="Q72" s="273"/>
      <c r="R72" s="271"/>
    </row>
    <row r="73" spans="2:18" hidden="1">
      <c r="B73" s="263" t="s">
        <v>167</v>
      </c>
      <c r="C73" s="281">
        <v>45408</v>
      </c>
      <c r="D73" s="263">
        <v>1062</v>
      </c>
      <c r="E73" s="263" t="s">
        <v>87</v>
      </c>
      <c r="F73" s="263" t="s">
        <v>225</v>
      </c>
      <c r="G73" s="263">
        <v>913564</v>
      </c>
      <c r="H73" s="437"/>
      <c r="I73" s="263"/>
      <c r="J73" s="437"/>
      <c r="K73" s="431"/>
      <c r="L73" s="263"/>
      <c r="M73" s="263"/>
      <c r="N73" s="263"/>
      <c r="O73" s="263"/>
      <c r="Q73" s="275"/>
      <c r="R73" s="274"/>
    </row>
    <row r="74" spans="2:18" hidden="1">
      <c r="B74" s="263" t="s">
        <v>167</v>
      </c>
      <c r="C74" s="281">
        <v>45408</v>
      </c>
      <c r="D74" s="263">
        <v>1062</v>
      </c>
      <c r="E74" s="263" t="s">
        <v>87</v>
      </c>
      <c r="F74" s="263" t="s">
        <v>226</v>
      </c>
      <c r="G74" s="263">
        <v>701006</v>
      </c>
      <c r="H74" s="437"/>
      <c r="I74" s="263"/>
      <c r="J74" s="437"/>
      <c r="K74" s="431"/>
      <c r="L74" s="263"/>
      <c r="M74" s="263"/>
      <c r="N74" s="263"/>
      <c r="O74" s="263"/>
      <c r="Q74" s="273"/>
      <c r="R74" s="269"/>
    </row>
    <row r="75" spans="2:18" hidden="1">
      <c r="B75" s="263" t="s">
        <v>167</v>
      </c>
      <c r="C75" s="281">
        <v>45408</v>
      </c>
      <c r="D75" s="263">
        <v>1062</v>
      </c>
      <c r="E75" s="263" t="s">
        <v>87</v>
      </c>
      <c r="F75" s="263" t="s">
        <v>227</v>
      </c>
      <c r="G75" s="263">
        <v>700388</v>
      </c>
      <c r="H75" s="437"/>
      <c r="I75" s="263"/>
      <c r="J75" s="437"/>
      <c r="K75" s="431"/>
      <c r="L75" s="263"/>
      <c r="M75" s="263"/>
      <c r="N75" s="263"/>
      <c r="O75" s="263"/>
      <c r="Q75" s="270"/>
      <c r="R75" s="267"/>
    </row>
    <row r="76" spans="2:18" hidden="1">
      <c r="B76" s="263" t="s">
        <v>167</v>
      </c>
      <c r="C76" s="281">
        <v>45408</v>
      </c>
      <c r="D76" s="263">
        <v>1062</v>
      </c>
      <c r="E76" s="263" t="s">
        <v>87</v>
      </c>
      <c r="F76" s="263" t="s">
        <v>228</v>
      </c>
      <c r="G76" s="263">
        <v>701585</v>
      </c>
      <c r="H76" s="437"/>
      <c r="I76" s="263"/>
      <c r="J76" s="437"/>
      <c r="K76" s="431"/>
      <c r="L76" s="263"/>
      <c r="M76" s="263"/>
      <c r="N76" s="263"/>
      <c r="O76" s="263"/>
      <c r="Q76" s="270"/>
      <c r="R76" s="271"/>
    </row>
    <row r="77" spans="2:18" hidden="1">
      <c r="B77" s="263" t="s">
        <v>167</v>
      </c>
      <c r="C77" s="281">
        <v>45408</v>
      </c>
      <c r="D77" s="263">
        <v>1062</v>
      </c>
      <c r="E77" s="263" t="s">
        <v>87</v>
      </c>
      <c r="F77" s="263" t="s">
        <v>229</v>
      </c>
      <c r="G77" s="263">
        <v>952277</v>
      </c>
      <c r="H77" s="437"/>
      <c r="I77" s="263"/>
      <c r="J77" s="437"/>
      <c r="K77" s="431"/>
      <c r="L77" s="263"/>
      <c r="M77" s="263"/>
      <c r="N77" s="263"/>
      <c r="O77" s="263"/>
      <c r="Q77" s="270"/>
      <c r="R77" s="269"/>
    </row>
    <row r="78" spans="2:18" hidden="1">
      <c r="B78" s="263" t="s">
        <v>167</v>
      </c>
      <c r="C78" s="281">
        <v>45408</v>
      </c>
      <c r="D78" s="263">
        <v>1062</v>
      </c>
      <c r="E78" s="263" t="s">
        <v>87</v>
      </c>
      <c r="F78" s="263" t="s">
        <v>230</v>
      </c>
      <c r="G78" s="263">
        <v>914147</v>
      </c>
      <c r="H78" s="437"/>
      <c r="I78" s="263"/>
      <c r="J78" s="437"/>
      <c r="K78" s="431"/>
      <c r="L78" s="263"/>
      <c r="M78" s="263"/>
      <c r="N78" s="263"/>
      <c r="O78" s="263"/>
      <c r="Q78" s="275"/>
      <c r="R78" s="269"/>
    </row>
    <row r="79" spans="2:18" hidden="1">
      <c r="B79" s="263" t="s">
        <v>167</v>
      </c>
      <c r="C79" s="281">
        <v>45408</v>
      </c>
      <c r="D79" s="263">
        <v>1062</v>
      </c>
      <c r="E79" s="263" t="s">
        <v>87</v>
      </c>
      <c r="F79" s="263" t="s">
        <v>231</v>
      </c>
      <c r="G79" s="263">
        <v>960140</v>
      </c>
      <c r="H79" s="437"/>
      <c r="I79" s="263"/>
      <c r="J79" s="437"/>
      <c r="K79" s="431"/>
      <c r="L79" s="263"/>
      <c r="M79" s="263"/>
      <c r="N79" s="263"/>
      <c r="O79" s="263"/>
      <c r="Q79" s="268"/>
      <c r="R79" s="269"/>
    </row>
    <row r="80" spans="2:18" hidden="1">
      <c r="B80" s="263" t="s">
        <v>167</v>
      </c>
      <c r="C80" s="281">
        <v>45408</v>
      </c>
      <c r="D80" s="263">
        <v>1062</v>
      </c>
      <c r="E80" s="263" t="s">
        <v>87</v>
      </c>
      <c r="F80" s="263" t="s">
        <v>232</v>
      </c>
      <c r="G80" s="263">
        <v>964706</v>
      </c>
      <c r="H80" s="437"/>
      <c r="I80" s="263"/>
      <c r="J80" s="437"/>
      <c r="K80" s="431"/>
      <c r="L80" s="263"/>
      <c r="M80" s="263"/>
      <c r="N80" s="263"/>
      <c r="O80" s="263"/>
      <c r="Q80" s="270"/>
      <c r="R80" s="271"/>
    </row>
    <row r="81" spans="2:18" hidden="1">
      <c r="B81" s="263" t="s">
        <v>167</v>
      </c>
      <c r="C81" s="281">
        <v>45408</v>
      </c>
      <c r="D81" s="263">
        <v>1062</v>
      </c>
      <c r="E81" s="263" t="s">
        <v>87</v>
      </c>
      <c r="F81" s="263" t="s">
        <v>233</v>
      </c>
      <c r="G81" s="263">
        <v>914125</v>
      </c>
      <c r="H81" s="437"/>
      <c r="I81" s="263"/>
      <c r="J81" s="437"/>
      <c r="K81" s="431"/>
      <c r="L81" s="263"/>
      <c r="M81" s="263"/>
      <c r="N81" s="263"/>
      <c r="O81" s="263"/>
      <c r="Q81" s="270"/>
      <c r="R81" s="271"/>
    </row>
    <row r="82" spans="2:18" hidden="1">
      <c r="B82" s="263" t="s">
        <v>167</v>
      </c>
      <c r="C82" s="281">
        <v>45408</v>
      </c>
      <c r="D82" s="263">
        <v>1062</v>
      </c>
      <c r="E82" s="263" t="s">
        <v>87</v>
      </c>
      <c r="F82" s="263" t="s">
        <v>234</v>
      </c>
      <c r="G82" s="263">
        <v>701311</v>
      </c>
      <c r="H82" s="437"/>
      <c r="I82" s="263"/>
      <c r="J82" s="437"/>
      <c r="K82" s="431"/>
      <c r="L82" s="263"/>
      <c r="M82" s="263"/>
      <c r="N82" s="263"/>
      <c r="O82" s="263"/>
      <c r="Q82" s="270"/>
      <c r="R82" s="267"/>
    </row>
    <row r="83" spans="2:18" hidden="1">
      <c r="B83" s="263" t="s">
        <v>167</v>
      </c>
      <c r="C83" s="281">
        <v>45408</v>
      </c>
      <c r="D83" s="263">
        <v>1062</v>
      </c>
      <c r="E83" s="263" t="s">
        <v>87</v>
      </c>
      <c r="F83" s="263" t="s">
        <v>235</v>
      </c>
      <c r="G83" s="263">
        <v>699115</v>
      </c>
      <c r="H83" s="437"/>
      <c r="I83" s="263"/>
      <c r="J83" s="437"/>
      <c r="K83" s="431"/>
      <c r="L83" s="263"/>
      <c r="M83" s="263"/>
      <c r="N83" s="263"/>
      <c r="O83" s="263"/>
      <c r="Q83" s="270"/>
      <c r="R83" s="267"/>
    </row>
    <row r="84" spans="2:18" hidden="1">
      <c r="B84" s="263" t="s">
        <v>167</v>
      </c>
      <c r="C84" s="281">
        <v>45408</v>
      </c>
      <c r="D84" s="263">
        <v>1062</v>
      </c>
      <c r="E84" s="263" t="s">
        <v>87</v>
      </c>
      <c r="F84" s="263" t="s">
        <v>236</v>
      </c>
      <c r="G84" s="263">
        <v>968795</v>
      </c>
      <c r="H84" s="437"/>
      <c r="I84" s="263"/>
      <c r="J84" s="437"/>
      <c r="K84" s="431"/>
      <c r="L84" s="263"/>
      <c r="M84" s="263"/>
      <c r="N84" s="263"/>
      <c r="O84" s="263"/>
      <c r="Q84" s="270"/>
      <c r="R84" s="267"/>
    </row>
    <row r="85" spans="2:18" hidden="1">
      <c r="B85" s="263" t="s">
        <v>167</v>
      </c>
      <c r="C85" s="281">
        <v>45408</v>
      </c>
      <c r="D85" s="263">
        <v>1062</v>
      </c>
      <c r="E85" s="263" t="s">
        <v>87</v>
      </c>
      <c r="F85" s="263" t="s">
        <v>237</v>
      </c>
      <c r="G85" s="263">
        <v>698348</v>
      </c>
      <c r="H85" s="437"/>
      <c r="I85" s="263"/>
      <c r="J85" s="437"/>
      <c r="K85" s="431"/>
      <c r="L85" s="263"/>
      <c r="M85" s="263"/>
      <c r="N85" s="263"/>
      <c r="O85" s="263"/>
      <c r="Q85" s="270"/>
      <c r="R85" s="269"/>
    </row>
    <row r="86" spans="2:18" hidden="1">
      <c r="B86" s="263" t="s">
        <v>167</v>
      </c>
      <c r="C86" s="281">
        <v>45408</v>
      </c>
      <c r="D86" s="263">
        <v>1062</v>
      </c>
      <c r="E86" s="263" t="s">
        <v>87</v>
      </c>
      <c r="F86" s="263" t="s">
        <v>238</v>
      </c>
      <c r="G86" s="263">
        <v>700047</v>
      </c>
      <c r="H86" s="437"/>
      <c r="I86" s="263"/>
      <c r="J86" s="437"/>
      <c r="K86" s="431"/>
      <c r="L86" s="263"/>
      <c r="M86" s="263"/>
      <c r="N86" s="263"/>
      <c r="O86" s="263"/>
      <c r="Q86" s="270"/>
      <c r="R86" s="269"/>
    </row>
    <row r="87" spans="2:18" hidden="1">
      <c r="B87" s="263" t="s">
        <v>167</v>
      </c>
      <c r="C87" s="281">
        <v>45408</v>
      </c>
      <c r="D87" s="263">
        <v>1062</v>
      </c>
      <c r="E87" s="263" t="s">
        <v>87</v>
      </c>
      <c r="F87" s="263" t="s">
        <v>239</v>
      </c>
      <c r="G87" s="263">
        <v>701795</v>
      </c>
      <c r="H87" s="437"/>
      <c r="I87" s="263"/>
      <c r="J87" s="437"/>
      <c r="K87" s="431"/>
      <c r="L87" s="263"/>
      <c r="M87" s="263"/>
      <c r="N87" s="263"/>
      <c r="O87" s="263"/>
      <c r="Q87" s="266"/>
      <c r="R87" s="267"/>
    </row>
    <row r="88" spans="2:18" hidden="1">
      <c r="B88" s="263" t="s">
        <v>167</v>
      </c>
      <c r="C88" s="281">
        <v>45408</v>
      </c>
      <c r="D88" s="263">
        <v>1062</v>
      </c>
      <c r="E88" s="263" t="s">
        <v>87</v>
      </c>
      <c r="F88" s="263" t="s">
        <v>240</v>
      </c>
      <c r="G88" s="263">
        <v>963908</v>
      </c>
      <c r="H88" s="437"/>
      <c r="I88" s="263"/>
      <c r="J88" s="437"/>
      <c r="K88" s="431"/>
      <c r="L88" s="263"/>
      <c r="M88" s="263"/>
      <c r="N88" s="263"/>
      <c r="O88" s="263"/>
      <c r="Q88" s="267"/>
      <c r="R88" s="269"/>
    </row>
    <row r="89" spans="2:18" hidden="1">
      <c r="B89" s="263" t="s">
        <v>167</v>
      </c>
      <c r="C89" s="281">
        <v>45408</v>
      </c>
      <c r="D89" s="263">
        <v>1062</v>
      </c>
      <c r="E89" s="263" t="s">
        <v>87</v>
      </c>
      <c r="F89" s="263" t="s">
        <v>241</v>
      </c>
      <c r="G89" s="263">
        <v>914124</v>
      </c>
      <c r="H89" s="437"/>
      <c r="I89" s="263"/>
      <c r="J89" s="437"/>
      <c r="K89" s="431"/>
      <c r="L89" s="263"/>
      <c r="M89" s="263"/>
      <c r="N89" s="263"/>
      <c r="O89" s="263"/>
      <c r="Q89" s="266"/>
      <c r="R89" s="267"/>
    </row>
    <row r="90" spans="2:18" hidden="1">
      <c r="B90" s="263" t="s">
        <v>167</v>
      </c>
      <c r="C90" s="281">
        <v>45408</v>
      </c>
      <c r="D90" s="263">
        <v>1062</v>
      </c>
      <c r="E90" s="263" t="s">
        <v>87</v>
      </c>
      <c r="F90" s="263" t="s">
        <v>242</v>
      </c>
      <c r="G90" s="263">
        <v>700857</v>
      </c>
      <c r="H90" s="437"/>
      <c r="I90" s="263"/>
      <c r="J90" s="437"/>
      <c r="K90" s="431"/>
      <c r="L90" s="263"/>
      <c r="M90" s="263"/>
      <c r="N90" s="263"/>
      <c r="O90" s="263"/>
      <c r="Q90" s="266"/>
      <c r="R90" s="267"/>
    </row>
    <row r="91" spans="2:18" hidden="1">
      <c r="B91" s="263" t="s">
        <v>167</v>
      </c>
      <c r="C91" s="281">
        <v>45408</v>
      </c>
      <c r="D91" s="263">
        <v>1062</v>
      </c>
      <c r="E91" s="263" t="s">
        <v>87</v>
      </c>
      <c r="F91" s="263" t="s">
        <v>243</v>
      </c>
      <c r="G91" s="263">
        <v>700773</v>
      </c>
      <c r="H91" s="437"/>
      <c r="I91" s="263"/>
      <c r="J91" s="437"/>
      <c r="K91" s="431"/>
      <c r="L91" s="263"/>
      <c r="M91" s="263"/>
      <c r="N91" s="263"/>
      <c r="O91" s="263"/>
      <c r="Q91" s="266"/>
      <c r="R91" s="267"/>
    </row>
    <row r="92" spans="2:18" hidden="1">
      <c r="B92" s="263" t="s">
        <v>167</v>
      </c>
      <c r="C92" s="281">
        <v>45408</v>
      </c>
      <c r="D92" s="263">
        <v>1062</v>
      </c>
      <c r="E92" s="263" t="s">
        <v>87</v>
      </c>
      <c r="F92" s="263" t="s">
        <v>244</v>
      </c>
      <c r="G92" s="263">
        <v>961059</v>
      </c>
      <c r="H92" s="438"/>
      <c r="I92" s="263"/>
      <c r="J92" s="438"/>
      <c r="K92" s="432"/>
      <c r="L92" s="263"/>
      <c r="M92" s="263"/>
      <c r="N92" s="263"/>
      <c r="O92" s="263"/>
      <c r="Q92" s="276"/>
      <c r="R92" s="277"/>
    </row>
    <row r="93" spans="2:18" hidden="1">
      <c r="B93" s="299" t="s">
        <v>167</v>
      </c>
      <c r="C93" s="300">
        <v>45411</v>
      </c>
      <c r="D93" s="299">
        <v>1107</v>
      </c>
      <c r="E93" s="299" t="s">
        <v>82</v>
      </c>
      <c r="F93" s="299" t="s">
        <v>245</v>
      </c>
      <c r="G93" s="299">
        <v>967226</v>
      </c>
      <c r="H93" s="454">
        <v>15000</v>
      </c>
      <c r="I93" s="299"/>
      <c r="J93" s="456">
        <f>H93-(SUM(I93:I99))</f>
        <v>15000</v>
      </c>
      <c r="K93" s="457">
        <f>(SUM(I93:I99))/H93</f>
        <v>0</v>
      </c>
      <c r="L93" s="285"/>
      <c r="M93" s="285"/>
      <c r="N93" s="285"/>
      <c r="O93" s="285"/>
      <c r="Q93" s="276"/>
      <c r="R93" s="277"/>
    </row>
    <row r="94" spans="2:18" hidden="1">
      <c r="B94" s="299" t="s">
        <v>167</v>
      </c>
      <c r="C94" s="300">
        <v>45411</v>
      </c>
      <c r="D94" s="299">
        <v>1107</v>
      </c>
      <c r="E94" s="299" t="s">
        <v>82</v>
      </c>
      <c r="F94" s="299" t="s">
        <v>246</v>
      </c>
      <c r="G94" s="299">
        <v>961805</v>
      </c>
      <c r="H94" s="455"/>
      <c r="I94" s="299"/>
      <c r="J94" s="456"/>
      <c r="K94" s="457"/>
      <c r="L94" s="285"/>
      <c r="M94" s="285"/>
      <c r="N94" s="285"/>
      <c r="O94" s="285"/>
      <c r="Q94" s="266"/>
      <c r="R94" s="267"/>
    </row>
    <row r="95" spans="2:18" hidden="1">
      <c r="B95" s="299" t="s">
        <v>167</v>
      </c>
      <c r="C95" s="300">
        <v>45411</v>
      </c>
      <c r="D95" s="299">
        <v>1107</v>
      </c>
      <c r="E95" s="299" t="s">
        <v>82</v>
      </c>
      <c r="F95" s="299" t="s">
        <v>247</v>
      </c>
      <c r="G95" s="299">
        <v>702161</v>
      </c>
      <c r="H95" s="455"/>
      <c r="I95" s="299"/>
      <c r="J95" s="456"/>
      <c r="K95" s="457"/>
      <c r="L95" s="285"/>
      <c r="M95" s="285"/>
      <c r="N95" s="285"/>
      <c r="O95" s="285"/>
      <c r="Q95" s="278"/>
      <c r="R95" s="278"/>
    </row>
    <row r="96" spans="2:18" hidden="1">
      <c r="B96" s="299" t="s">
        <v>167</v>
      </c>
      <c r="C96" s="300">
        <v>45411</v>
      </c>
      <c r="D96" s="299">
        <v>1107</v>
      </c>
      <c r="E96" s="299" t="s">
        <v>82</v>
      </c>
      <c r="F96" s="299" t="s">
        <v>248</v>
      </c>
      <c r="G96" s="299">
        <v>968122</v>
      </c>
      <c r="H96" s="455"/>
      <c r="I96" s="299"/>
      <c r="J96" s="456"/>
      <c r="K96" s="457"/>
      <c r="L96" s="285"/>
      <c r="M96" s="285"/>
      <c r="N96" s="285"/>
      <c r="O96" s="285"/>
    </row>
    <row r="97" spans="2:15" hidden="1">
      <c r="B97" s="299" t="s">
        <v>167</v>
      </c>
      <c r="C97" s="300">
        <v>45411</v>
      </c>
      <c r="D97" s="299">
        <v>1107</v>
      </c>
      <c r="E97" s="299" t="s">
        <v>82</v>
      </c>
      <c r="F97" s="299" t="s">
        <v>249</v>
      </c>
      <c r="G97" s="299">
        <v>702056</v>
      </c>
      <c r="H97" s="455"/>
      <c r="I97" s="299"/>
      <c r="J97" s="456"/>
      <c r="K97" s="457"/>
      <c r="L97" s="285"/>
      <c r="M97" s="285"/>
      <c r="N97" s="285"/>
      <c r="O97" s="285"/>
    </row>
    <row r="98" spans="2:15" hidden="1">
      <c r="B98" s="299" t="s">
        <v>167</v>
      </c>
      <c r="C98" s="300">
        <v>45411</v>
      </c>
      <c r="D98" s="299">
        <v>1107</v>
      </c>
      <c r="E98" s="299" t="s">
        <v>82</v>
      </c>
      <c r="F98" s="299" t="s">
        <v>250</v>
      </c>
      <c r="G98" s="299">
        <v>697302</v>
      </c>
      <c r="H98" s="455"/>
      <c r="I98" s="299"/>
      <c r="J98" s="456"/>
      <c r="K98" s="457"/>
      <c r="L98" s="285"/>
      <c r="M98" s="285"/>
      <c r="N98" s="285"/>
      <c r="O98" s="285"/>
    </row>
    <row r="99" spans="2:15" hidden="1">
      <c r="B99" s="301" t="s">
        <v>167</v>
      </c>
      <c r="C99" s="302">
        <v>45411</v>
      </c>
      <c r="D99" s="301">
        <v>1107</v>
      </c>
      <c r="E99" s="301" t="s">
        <v>82</v>
      </c>
      <c r="F99" s="301" t="s">
        <v>251</v>
      </c>
      <c r="G99" s="301">
        <v>701983</v>
      </c>
      <c r="H99" s="455"/>
      <c r="I99" s="301"/>
      <c r="J99" s="454"/>
      <c r="K99" s="458"/>
      <c r="L99" s="285"/>
      <c r="M99" s="285"/>
      <c r="N99" s="285"/>
      <c r="O99" s="285"/>
    </row>
    <row r="100" spans="2:15" hidden="1">
      <c r="B100" s="284" t="s">
        <v>167</v>
      </c>
      <c r="C100" s="228">
        <v>45411</v>
      </c>
      <c r="D100" s="284">
        <v>1108</v>
      </c>
      <c r="E100" s="284" t="s">
        <v>82</v>
      </c>
      <c r="F100" s="284" t="s">
        <v>252</v>
      </c>
      <c r="G100" s="284">
        <v>969667</v>
      </c>
      <c r="H100" s="439">
        <v>15000</v>
      </c>
      <c r="I100" s="284"/>
      <c r="J100" s="414">
        <f>H100-(SUM(I100:I105))</f>
        <v>15000</v>
      </c>
      <c r="K100" s="417">
        <f>(SUM(I100:I105))/H100</f>
        <v>0</v>
      </c>
      <c r="L100" s="285"/>
      <c r="M100" s="285"/>
      <c r="N100" s="285"/>
      <c r="O100" s="285"/>
    </row>
    <row r="101" spans="2:15" hidden="1">
      <c r="B101" s="284" t="s">
        <v>167</v>
      </c>
      <c r="C101" s="228">
        <v>45411</v>
      </c>
      <c r="D101" s="284">
        <v>1108</v>
      </c>
      <c r="E101" s="284" t="s">
        <v>82</v>
      </c>
      <c r="F101" s="284" t="s">
        <v>253</v>
      </c>
      <c r="G101" s="284">
        <v>700408</v>
      </c>
      <c r="H101" s="439"/>
      <c r="I101" s="284"/>
      <c r="J101" s="415"/>
      <c r="K101" s="418"/>
      <c r="L101" s="285"/>
      <c r="M101" s="285"/>
      <c r="N101" s="285"/>
      <c r="O101" s="285"/>
    </row>
    <row r="102" spans="2:15" hidden="1">
      <c r="B102" s="284" t="s">
        <v>167</v>
      </c>
      <c r="C102" s="228">
        <v>45411</v>
      </c>
      <c r="D102" s="284">
        <v>1108</v>
      </c>
      <c r="E102" s="284" t="s">
        <v>82</v>
      </c>
      <c r="F102" s="284" t="s">
        <v>254</v>
      </c>
      <c r="G102" s="284">
        <v>967935</v>
      </c>
      <c r="H102" s="439"/>
      <c r="I102" s="284"/>
      <c r="J102" s="415"/>
      <c r="K102" s="418"/>
      <c r="L102" s="285"/>
      <c r="M102" s="285"/>
      <c r="N102" s="285"/>
      <c r="O102" s="285"/>
    </row>
    <row r="103" spans="2:15" hidden="1">
      <c r="B103" s="284" t="s">
        <v>167</v>
      </c>
      <c r="C103" s="228">
        <v>45411</v>
      </c>
      <c r="D103" s="284">
        <v>1108</v>
      </c>
      <c r="E103" s="284" t="s">
        <v>82</v>
      </c>
      <c r="F103" s="284" t="s">
        <v>255</v>
      </c>
      <c r="G103" s="284">
        <v>967513</v>
      </c>
      <c r="H103" s="439"/>
      <c r="I103" s="284"/>
      <c r="J103" s="415"/>
      <c r="K103" s="418"/>
      <c r="L103" s="285"/>
      <c r="M103" s="285"/>
      <c r="N103" s="285"/>
      <c r="O103" s="285"/>
    </row>
    <row r="104" spans="2:15" hidden="1">
      <c r="B104" s="284" t="s">
        <v>167</v>
      </c>
      <c r="C104" s="228">
        <v>45411</v>
      </c>
      <c r="D104" s="284">
        <v>1108</v>
      </c>
      <c r="E104" s="284" t="s">
        <v>82</v>
      </c>
      <c r="F104" s="284" t="s">
        <v>256</v>
      </c>
      <c r="G104" s="284">
        <v>701486</v>
      </c>
      <c r="H104" s="439"/>
      <c r="I104" s="284"/>
      <c r="J104" s="415"/>
      <c r="K104" s="418"/>
      <c r="L104" s="285"/>
      <c r="M104" s="285"/>
      <c r="N104" s="285"/>
      <c r="O104" s="285"/>
    </row>
    <row r="105" spans="2:15" hidden="1">
      <c r="B105" s="284" t="s">
        <v>167</v>
      </c>
      <c r="C105" s="228">
        <v>45411</v>
      </c>
      <c r="D105" s="284">
        <v>1108</v>
      </c>
      <c r="E105" s="284" t="s">
        <v>82</v>
      </c>
      <c r="F105" s="284" t="s">
        <v>257</v>
      </c>
      <c r="G105" s="284">
        <v>968789</v>
      </c>
      <c r="H105" s="439"/>
      <c r="I105" s="284"/>
      <c r="J105" s="416"/>
      <c r="K105" s="419"/>
      <c r="L105" s="285"/>
      <c r="M105" s="285"/>
      <c r="N105" s="285"/>
      <c r="O105" s="285"/>
    </row>
    <row r="106" spans="2:15" hidden="1">
      <c r="B106" s="312" t="s">
        <v>167</v>
      </c>
      <c r="C106" s="313">
        <v>45440</v>
      </c>
      <c r="D106" s="312">
        <v>1312</v>
      </c>
      <c r="E106" s="312" t="s">
        <v>82</v>
      </c>
      <c r="F106" s="312" t="s">
        <v>263</v>
      </c>
      <c r="G106" s="312">
        <v>700966</v>
      </c>
      <c r="H106" s="448">
        <v>3000</v>
      </c>
      <c r="I106" s="312"/>
      <c r="J106" s="448">
        <f>H106-(SUM(I106:I108))</f>
        <v>3000</v>
      </c>
      <c r="K106" s="451">
        <f>(SUM(I106:I108))/H106</f>
        <v>0</v>
      </c>
      <c r="L106" s="312"/>
      <c r="M106" s="312"/>
      <c r="N106" s="312"/>
      <c r="O106" s="312"/>
    </row>
    <row r="107" spans="2:15" hidden="1">
      <c r="B107" s="312" t="s">
        <v>167</v>
      </c>
      <c r="C107" s="313">
        <v>45441</v>
      </c>
      <c r="D107" s="384">
        <v>1312</v>
      </c>
      <c r="E107" s="384" t="s">
        <v>82</v>
      </c>
      <c r="F107" s="384" t="s">
        <v>315</v>
      </c>
      <c r="G107" s="384">
        <v>702567</v>
      </c>
      <c r="H107" s="449"/>
      <c r="I107" s="312"/>
      <c r="J107" s="449"/>
      <c r="K107" s="452"/>
      <c r="L107" s="312"/>
      <c r="M107" s="312"/>
      <c r="N107" s="312"/>
      <c r="O107" s="312"/>
    </row>
    <row r="108" spans="2:15" hidden="1">
      <c r="B108" s="312" t="s">
        <v>167</v>
      </c>
      <c r="C108" s="313">
        <v>45440</v>
      </c>
      <c r="D108" s="312">
        <v>1312</v>
      </c>
      <c r="E108" s="312" t="s">
        <v>82</v>
      </c>
      <c r="F108" s="312" t="s">
        <v>264</v>
      </c>
      <c r="G108" s="312">
        <v>702390</v>
      </c>
      <c r="H108" s="450"/>
      <c r="I108" s="312"/>
      <c r="J108" s="450"/>
      <c r="K108" s="453"/>
      <c r="L108" s="312"/>
      <c r="M108" s="312"/>
      <c r="N108" s="312"/>
      <c r="O108" s="312"/>
    </row>
    <row r="109" spans="2:15">
      <c r="B109" s="314" t="s">
        <v>167</v>
      </c>
      <c r="C109" s="315">
        <v>45446</v>
      </c>
      <c r="D109" s="314">
        <v>1356</v>
      </c>
      <c r="E109" s="314" t="s">
        <v>270</v>
      </c>
      <c r="F109" s="314" t="s">
        <v>265</v>
      </c>
      <c r="G109" s="314">
        <v>701740</v>
      </c>
      <c r="H109" s="314"/>
      <c r="I109" s="314"/>
      <c r="J109" s="314"/>
      <c r="K109" s="314"/>
      <c r="L109" s="420">
        <v>500</v>
      </c>
      <c r="M109" s="314"/>
      <c r="N109" s="420">
        <f>L109-(SUM(M109:M114))</f>
        <v>500</v>
      </c>
      <c r="O109" s="433">
        <f>(SUM(M109:M114)/N109)</f>
        <v>0</v>
      </c>
    </row>
    <row r="110" spans="2:15">
      <c r="B110" s="314" t="s">
        <v>167</v>
      </c>
      <c r="C110" s="315">
        <v>45446</v>
      </c>
      <c r="D110" s="314">
        <v>1356</v>
      </c>
      <c r="E110" s="314" t="s">
        <v>270</v>
      </c>
      <c r="F110" s="314" t="s">
        <v>266</v>
      </c>
      <c r="G110" s="314">
        <v>700757</v>
      </c>
      <c r="H110" s="314"/>
      <c r="I110" s="314"/>
      <c r="J110" s="314"/>
      <c r="K110" s="314"/>
      <c r="L110" s="420"/>
      <c r="M110" s="314"/>
      <c r="N110" s="420"/>
      <c r="O110" s="433"/>
    </row>
    <row r="111" spans="2:15">
      <c r="B111" s="314" t="s">
        <v>167</v>
      </c>
      <c r="C111" s="315">
        <v>45446</v>
      </c>
      <c r="D111" s="314">
        <v>1356</v>
      </c>
      <c r="E111" s="314" t="s">
        <v>270</v>
      </c>
      <c r="F111" s="314" t="s">
        <v>267</v>
      </c>
      <c r="G111" s="314">
        <v>699260</v>
      </c>
      <c r="H111" s="314"/>
      <c r="I111" s="314"/>
      <c r="J111" s="314"/>
      <c r="K111" s="314"/>
      <c r="L111" s="420"/>
      <c r="M111" s="314"/>
      <c r="N111" s="420"/>
      <c r="O111" s="433"/>
    </row>
    <row r="112" spans="2:15">
      <c r="B112" s="314" t="s">
        <v>167</v>
      </c>
      <c r="C112" s="315">
        <v>45446</v>
      </c>
      <c r="D112" s="314">
        <v>1356</v>
      </c>
      <c r="E112" s="314" t="s">
        <v>270</v>
      </c>
      <c r="F112" s="314" t="s">
        <v>268</v>
      </c>
      <c r="G112" s="314">
        <v>969710</v>
      </c>
      <c r="H112" s="314"/>
      <c r="I112" s="314"/>
      <c r="J112" s="314"/>
      <c r="K112" s="314"/>
      <c r="L112" s="420"/>
      <c r="M112" s="314"/>
      <c r="N112" s="420"/>
      <c r="O112" s="433"/>
    </row>
    <row r="113" spans="2:15">
      <c r="B113" s="334" t="s">
        <v>167</v>
      </c>
      <c r="C113" s="315">
        <v>45446</v>
      </c>
      <c r="D113" s="337">
        <v>1356</v>
      </c>
      <c r="E113" s="334" t="s">
        <v>270</v>
      </c>
      <c r="F113" s="336" t="s">
        <v>307</v>
      </c>
      <c r="G113" s="334">
        <v>702604</v>
      </c>
      <c r="H113" s="334"/>
      <c r="I113" s="334"/>
      <c r="J113" s="334"/>
      <c r="K113" s="334"/>
      <c r="L113" s="420"/>
      <c r="M113" s="334"/>
      <c r="N113" s="420"/>
      <c r="O113" s="433"/>
    </row>
    <row r="114" spans="2:15">
      <c r="B114" s="314" t="s">
        <v>167</v>
      </c>
      <c r="C114" s="315">
        <v>45446</v>
      </c>
      <c r="D114" s="314">
        <v>1356</v>
      </c>
      <c r="E114" s="314" t="s">
        <v>270</v>
      </c>
      <c r="F114" s="314" t="s">
        <v>269</v>
      </c>
      <c r="G114" s="314">
        <v>702453</v>
      </c>
      <c r="H114" s="314"/>
      <c r="I114" s="314"/>
      <c r="J114" s="314"/>
      <c r="K114" s="314"/>
      <c r="L114" s="420"/>
      <c r="M114" s="314"/>
      <c r="N114" s="420"/>
      <c r="O114" s="433"/>
    </row>
    <row r="115" spans="2:15" hidden="1">
      <c r="B115" s="311" t="s">
        <v>167</v>
      </c>
      <c r="C115" s="228">
        <v>45446</v>
      </c>
      <c r="D115" s="311">
        <v>1357</v>
      </c>
      <c r="E115" s="311" t="s">
        <v>87</v>
      </c>
      <c r="F115" s="311" t="s">
        <v>265</v>
      </c>
      <c r="G115" s="311">
        <v>701740</v>
      </c>
      <c r="H115" s="414">
        <v>50000</v>
      </c>
      <c r="I115" s="311"/>
      <c r="J115" s="414">
        <f>H115-(SUM(I115:I121))</f>
        <v>50000</v>
      </c>
      <c r="K115" s="417">
        <f>(SUM(I115:I121))/H115</f>
        <v>0</v>
      </c>
      <c r="L115" s="311"/>
      <c r="M115" s="311"/>
      <c r="N115" s="311"/>
      <c r="O115" s="311"/>
    </row>
    <row r="116" spans="2:15" hidden="1">
      <c r="B116" s="311" t="s">
        <v>167</v>
      </c>
      <c r="C116" s="228">
        <v>45446</v>
      </c>
      <c r="D116" s="311">
        <v>1357</v>
      </c>
      <c r="E116" s="311" t="s">
        <v>87</v>
      </c>
      <c r="F116" s="311" t="s">
        <v>171</v>
      </c>
      <c r="G116" s="311">
        <v>968274</v>
      </c>
      <c r="H116" s="415"/>
      <c r="I116" s="311"/>
      <c r="J116" s="415"/>
      <c r="K116" s="418"/>
      <c r="L116" s="311"/>
      <c r="M116" s="311"/>
      <c r="N116" s="311"/>
      <c r="O116" s="311"/>
    </row>
    <row r="117" spans="2:15" hidden="1">
      <c r="B117" s="311" t="s">
        <v>167</v>
      </c>
      <c r="C117" s="228">
        <v>45446</v>
      </c>
      <c r="D117" s="311">
        <v>1357</v>
      </c>
      <c r="E117" s="311" t="s">
        <v>87</v>
      </c>
      <c r="F117" s="311" t="s">
        <v>175</v>
      </c>
      <c r="G117" s="311">
        <v>699329</v>
      </c>
      <c r="H117" s="415"/>
      <c r="I117" s="311"/>
      <c r="J117" s="415"/>
      <c r="K117" s="418"/>
      <c r="L117" s="311"/>
      <c r="M117" s="311"/>
      <c r="N117" s="311"/>
      <c r="O117" s="311"/>
    </row>
    <row r="118" spans="2:15" hidden="1">
      <c r="B118" s="311" t="s">
        <v>167</v>
      </c>
      <c r="C118" s="228">
        <v>45446</v>
      </c>
      <c r="D118" s="311">
        <v>1357</v>
      </c>
      <c r="E118" s="311" t="s">
        <v>87</v>
      </c>
      <c r="F118" s="311" t="s">
        <v>266</v>
      </c>
      <c r="G118" s="311">
        <v>700757</v>
      </c>
      <c r="H118" s="415"/>
      <c r="I118" s="311"/>
      <c r="J118" s="415"/>
      <c r="K118" s="418"/>
      <c r="L118" s="311"/>
      <c r="M118" s="311"/>
      <c r="N118" s="311"/>
      <c r="O118" s="311"/>
    </row>
    <row r="119" spans="2:15" hidden="1">
      <c r="B119" s="311" t="s">
        <v>167</v>
      </c>
      <c r="C119" s="228">
        <v>45446</v>
      </c>
      <c r="D119" s="311">
        <v>1357</v>
      </c>
      <c r="E119" s="311" t="s">
        <v>87</v>
      </c>
      <c r="F119" s="311" t="s">
        <v>169</v>
      </c>
      <c r="G119" s="311">
        <v>699687</v>
      </c>
      <c r="H119" s="415"/>
      <c r="I119" s="311"/>
      <c r="J119" s="415"/>
      <c r="K119" s="418"/>
      <c r="L119" s="311"/>
      <c r="M119" s="311"/>
      <c r="N119" s="311"/>
      <c r="O119" s="311"/>
    </row>
    <row r="120" spans="2:15" hidden="1">
      <c r="B120" s="335" t="s">
        <v>167</v>
      </c>
      <c r="C120" s="228">
        <v>45446</v>
      </c>
      <c r="D120" s="338">
        <v>1357</v>
      </c>
      <c r="E120" s="335" t="s">
        <v>87</v>
      </c>
      <c r="F120" s="339" t="s">
        <v>307</v>
      </c>
      <c r="G120" s="339">
        <v>702604</v>
      </c>
      <c r="H120" s="415"/>
      <c r="I120" s="335"/>
      <c r="J120" s="415"/>
      <c r="K120" s="418"/>
      <c r="L120" s="335"/>
      <c r="M120" s="335"/>
      <c r="N120" s="335"/>
      <c r="O120" s="335"/>
    </row>
    <row r="121" spans="2:15" hidden="1">
      <c r="B121" s="311" t="s">
        <v>167</v>
      </c>
      <c r="C121" s="228">
        <v>45446</v>
      </c>
      <c r="D121" s="311">
        <v>1357</v>
      </c>
      <c r="E121" s="311" t="s">
        <v>87</v>
      </c>
      <c r="F121" s="311" t="s">
        <v>267</v>
      </c>
      <c r="G121" s="311">
        <v>699260</v>
      </c>
      <c r="H121" s="416"/>
      <c r="I121" s="311"/>
      <c r="J121" s="416"/>
      <c r="K121" s="419"/>
      <c r="L121" s="311"/>
      <c r="M121" s="311"/>
      <c r="N121" s="311"/>
      <c r="O121" s="311"/>
    </row>
    <row r="122" spans="2:15" hidden="1">
      <c r="B122" s="321" t="s">
        <v>167</v>
      </c>
      <c r="C122" s="322">
        <v>45449</v>
      </c>
      <c r="D122" s="321">
        <v>1385</v>
      </c>
      <c r="E122" s="321" t="s">
        <v>10</v>
      </c>
      <c r="F122" s="321" t="s">
        <v>271</v>
      </c>
      <c r="G122" s="321">
        <v>702298</v>
      </c>
      <c r="H122" s="321"/>
      <c r="I122" s="321"/>
      <c r="J122" s="321"/>
      <c r="K122" s="321"/>
      <c r="L122" s="421">
        <v>800</v>
      </c>
      <c r="M122" s="321">
        <v>49.887</v>
      </c>
      <c r="N122" s="421">
        <f>L122-(SUM(M122:M138))</f>
        <v>512.05600000000004</v>
      </c>
      <c r="O122" s="424">
        <f>(SUM(M122:M138)/N122)</f>
        <v>0.56232912025247239</v>
      </c>
    </row>
    <row r="123" spans="2:15" hidden="1">
      <c r="B123" s="321" t="s">
        <v>167</v>
      </c>
      <c r="C123" s="322">
        <v>45449</v>
      </c>
      <c r="D123" s="321">
        <v>1385</v>
      </c>
      <c r="E123" s="321" t="s">
        <v>10</v>
      </c>
      <c r="F123" s="321" t="s">
        <v>246</v>
      </c>
      <c r="G123" s="321">
        <v>961805</v>
      </c>
      <c r="H123" s="321"/>
      <c r="I123" s="321"/>
      <c r="J123" s="321"/>
      <c r="K123" s="321"/>
      <c r="L123" s="422"/>
      <c r="M123" s="321"/>
      <c r="N123" s="422"/>
      <c r="O123" s="425"/>
    </row>
    <row r="124" spans="2:15" hidden="1">
      <c r="B124" s="321" t="s">
        <v>167</v>
      </c>
      <c r="C124" s="322">
        <v>45449</v>
      </c>
      <c r="D124" s="321">
        <v>1385</v>
      </c>
      <c r="E124" s="321" t="s">
        <v>10</v>
      </c>
      <c r="F124" s="321" t="s">
        <v>272</v>
      </c>
      <c r="G124" s="321">
        <v>702161</v>
      </c>
      <c r="H124" s="321"/>
      <c r="I124" s="321"/>
      <c r="J124" s="321"/>
      <c r="K124" s="321"/>
      <c r="L124" s="422"/>
      <c r="M124" s="321"/>
      <c r="N124" s="422"/>
      <c r="O124" s="425"/>
    </row>
    <row r="125" spans="2:15" hidden="1">
      <c r="B125" s="321" t="s">
        <v>167</v>
      </c>
      <c r="C125" s="322">
        <v>45449</v>
      </c>
      <c r="D125" s="321">
        <v>1385</v>
      </c>
      <c r="E125" s="321" t="s">
        <v>10</v>
      </c>
      <c r="F125" s="321" t="s">
        <v>273</v>
      </c>
      <c r="G125" s="321">
        <v>968122</v>
      </c>
      <c r="H125" s="321"/>
      <c r="I125" s="321"/>
      <c r="J125" s="321"/>
      <c r="K125" s="321"/>
      <c r="L125" s="422"/>
      <c r="M125" s="321">
        <v>104.76600000000001</v>
      </c>
      <c r="N125" s="422"/>
      <c r="O125" s="425"/>
    </row>
    <row r="126" spans="2:15" hidden="1">
      <c r="B126" s="321" t="s">
        <v>167</v>
      </c>
      <c r="C126" s="322">
        <v>45449</v>
      </c>
      <c r="D126" s="321">
        <v>1385</v>
      </c>
      <c r="E126" s="321" t="s">
        <v>10</v>
      </c>
      <c r="F126" s="321" t="s">
        <v>274</v>
      </c>
      <c r="G126" s="321">
        <v>702056</v>
      </c>
      <c r="H126" s="321"/>
      <c r="I126" s="321"/>
      <c r="J126" s="321"/>
      <c r="K126" s="321"/>
      <c r="L126" s="422"/>
      <c r="M126" s="321"/>
      <c r="N126" s="422"/>
      <c r="O126" s="425"/>
    </row>
    <row r="127" spans="2:15" hidden="1">
      <c r="B127" s="321" t="s">
        <v>167</v>
      </c>
      <c r="C127" s="322">
        <v>45449</v>
      </c>
      <c r="D127" s="321">
        <v>1385</v>
      </c>
      <c r="E127" s="321" t="s">
        <v>10</v>
      </c>
      <c r="F127" s="323" t="s">
        <v>250</v>
      </c>
      <c r="G127" s="323">
        <v>697302</v>
      </c>
      <c r="H127" s="323"/>
      <c r="I127" s="323"/>
      <c r="J127" s="323"/>
      <c r="K127" s="323"/>
      <c r="L127" s="422"/>
      <c r="M127" s="323"/>
      <c r="N127" s="422"/>
      <c r="O127" s="425"/>
    </row>
    <row r="128" spans="2:15" hidden="1">
      <c r="B128" s="321" t="s">
        <v>167</v>
      </c>
      <c r="C128" s="322">
        <v>45449</v>
      </c>
      <c r="D128" s="321">
        <v>1385</v>
      </c>
      <c r="E128" s="321" t="s">
        <v>10</v>
      </c>
      <c r="F128" s="323" t="s">
        <v>251</v>
      </c>
      <c r="G128" s="323">
        <v>701983</v>
      </c>
      <c r="H128" s="323"/>
      <c r="I128" s="323"/>
      <c r="J128" s="323"/>
      <c r="K128" s="323"/>
      <c r="L128" s="422"/>
      <c r="M128" s="323"/>
      <c r="N128" s="422"/>
      <c r="O128" s="425"/>
    </row>
    <row r="129" spans="2:15" hidden="1">
      <c r="B129" s="332" t="s">
        <v>167</v>
      </c>
      <c r="C129" s="322">
        <v>45449</v>
      </c>
      <c r="D129" s="332">
        <v>1385</v>
      </c>
      <c r="E129" s="332" t="s">
        <v>10</v>
      </c>
      <c r="F129" s="323" t="s">
        <v>287</v>
      </c>
      <c r="G129" s="323">
        <v>919376</v>
      </c>
      <c r="H129" s="323"/>
      <c r="I129" s="323"/>
      <c r="J129" s="323"/>
      <c r="K129" s="323"/>
      <c r="L129" s="422"/>
      <c r="M129" s="323"/>
      <c r="N129" s="422"/>
      <c r="O129" s="425"/>
    </row>
    <row r="130" spans="2:15" hidden="1">
      <c r="B130" s="332" t="s">
        <v>167</v>
      </c>
      <c r="C130" s="322">
        <v>45449</v>
      </c>
      <c r="D130" s="332">
        <v>1385</v>
      </c>
      <c r="E130" s="332" t="s">
        <v>10</v>
      </c>
      <c r="F130" s="323" t="s">
        <v>288</v>
      </c>
      <c r="G130" s="323">
        <v>958248</v>
      </c>
      <c r="H130" s="323"/>
      <c r="I130" s="323"/>
      <c r="J130" s="323"/>
      <c r="K130" s="323"/>
      <c r="L130" s="422"/>
      <c r="M130" s="323"/>
      <c r="N130" s="422"/>
      <c r="O130" s="425"/>
    </row>
    <row r="131" spans="2:15" hidden="1">
      <c r="B131" s="332" t="s">
        <v>167</v>
      </c>
      <c r="C131" s="322">
        <v>45449</v>
      </c>
      <c r="D131" s="332">
        <v>1385</v>
      </c>
      <c r="E131" s="332" t="s">
        <v>10</v>
      </c>
      <c r="F131" s="323" t="s">
        <v>289</v>
      </c>
      <c r="G131" s="323">
        <v>701941</v>
      </c>
      <c r="H131" s="323"/>
      <c r="I131" s="323"/>
      <c r="J131" s="323"/>
      <c r="K131" s="323"/>
      <c r="L131" s="422"/>
      <c r="M131" s="323"/>
      <c r="N131" s="422"/>
      <c r="O131" s="425"/>
    </row>
    <row r="132" spans="2:15" hidden="1">
      <c r="B132" s="332" t="s">
        <v>167</v>
      </c>
      <c r="C132" s="322">
        <v>45449</v>
      </c>
      <c r="D132" s="332">
        <v>1385</v>
      </c>
      <c r="E132" s="332" t="s">
        <v>10</v>
      </c>
      <c r="F132" s="323" t="s">
        <v>290</v>
      </c>
      <c r="G132" s="323">
        <v>700795</v>
      </c>
      <c r="H132" s="323"/>
      <c r="I132" s="323"/>
      <c r="J132" s="323"/>
      <c r="K132" s="323"/>
      <c r="L132" s="422"/>
      <c r="M132" s="323"/>
      <c r="N132" s="422"/>
      <c r="O132" s="425"/>
    </row>
    <row r="133" spans="2:15" hidden="1">
      <c r="B133" s="332" t="s">
        <v>167</v>
      </c>
      <c r="C133" s="322">
        <v>45449</v>
      </c>
      <c r="D133" s="332">
        <v>1385</v>
      </c>
      <c r="E133" s="332" t="s">
        <v>10</v>
      </c>
      <c r="F133" s="323" t="s">
        <v>291</v>
      </c>
      <c r="G133" s="323">
        <v>698468</v>
      </c>
      <c r="H133" s="323"/>
      <c r="I133" s="323"/>
      <c r="J133" s="323"/>
      <c r="K133" s="323"/>
      <c r="L133" s="422"/>
      <c r="M133" s="323">
        <v>50.972000000000001</v>
      </c>
      <c r="N133" s="422"/>
      <c r="O133" s="425"/>
    </row>
    <row r="134" spans="2:15" hidden="1">
      <c r="B134" s="332" t="s">
        <v>167</v>
      </c>
      <c r="C134" s="322">
        <v>45449</v>
      </c>
      <c r="D134" s="332">
        <v>1385</v>
      </c>
      <c r="E134" s="332" t="s">
        <v>10</v>
      </c>
      <c r="F134" s="323" t="s">
        <v>292</v>
      </c>
      <c r="G134" s="323">
        <v>698513</v>
      </c>
      <c r="H134" s="323"/>
      <c r="I134" s="323"/>
      <c r="J134" s="323"/>
      <c r="K134" s="323"/>
      <c r="L134" s="422"/>
      <c r="M134" s="323"/>
      <c r="N134" s="422"/>
      <c r="O134" s="425"/>
    </row>
    <row r="135" spans="2:15" hidden="1">
      <c r="B135" s="332" t="s">
        <v>167</v>
      </c>
      <c r="C135" s="322">
        <v>45449</v>
      </c>
      <c r="D135" s="332">
        <v>1385</v>
      </c>
      <c r="E135" s="332" t="s">
        <v>10</v>
      </c>
      <c r="F135" s="323" t="s">
        <v>293</v>
      </c>
      <c r="G135" s="323">
        <v>968960</v>
      </c>
      <c r="H135" s="323"/>
      <c r="I135" s="323"/>
      <c r="J135" s="323"/>
      <c r="K135" s="323"/>
      <c r="L135" s="422"/>
      <c r="M135" s="323"/>
      <c r="N135" s="422"/>
      <c r="O135" s="425"/>
    </row>
    <row r="136" spans="2:15" hidden="1">
      <c r="B136" s="332" t="s">
        <v>167</v>
      </c>
      <c r="C136" s="322">
        <v>45449</v>
      </c>
      <c r="D136" s="332">
        <v>1385</v>
      </c>
      <c r="E136" s="332" t="s">
        <v>10</v>
      </c>
      <c r="F136" s="323" t="s">
        <v>294</v>
      </c>
      <c r="G136" s="323">
        <v>700719</v>
      </c>
      <c r="H136" s="323"/>
      <c r="I136" s="323"/>
      <c r="J136" s="323"/>
      <c r="K136" s="323"/>
      <c r="L136" s="422"/>
      <c r="M136" s="323">
        <v>57.851999999999997</v>
      </c>
      <c r="N136" s="422"/>
      <c r="O136" s="425"/>
    </row>
    <row r="137" spans="2:15" hidden="1">
      <c r="B137" s="332" t="s">
        <v>167</v>
      </c>
      <c r="C137" s="322">
        <v>45449</v>
      </c>
      <c r="D137" s="332">
        <v>1385</v>
      </c>
      <c r="E137" s="332" t="s">
        <v>10</v>
      </c>
      <c r="F137" s="323" t="s">
        <v>295</v>
      </c>
      <c r="G137" s="323">
        <v>701785</v>
      </c>
      <c r="H137" s="323"/>
      <c r="I137" s="323"/>
      <c r="J137" s="323"/>
      <c r="K137" s="323"/>
      <c r="L137" s="422"/>
      <c r="M137" s="323">
        <v>24.466999999999999</v>
      </c>
      <c r="N137" s="422"/>
      <c r="O137" s="425"/>
    </row>
    <row r="138" spans="2:15" hidden="1">
      <c r="B138" s="332" t="s">
        <v>167</v>
      </c>
      <c r="C138" s="322">
        <v>45449</v>
      </c>
      <c r="D138" s="332">
        <v>1385</v>
      </c>
      <c r="E138" s="332" t="s">
        <v>10</v>
      </c>
      <c r="F138" s="323" t="s">
        <v>296</v>
      </c>
      <c r="G138" s="323">
        <v>968156</v>
      </c>
      <c r="H138" s="323"/>
      <c r="I138" s="323"/>
      <c r="J138" s="323"/>
      <c r="K138" s="323"/>
      <c r="L138" s="423"/>
      <c r="M138" s="323"/>
      <c r="N138" s="423"/>
      <c r="O138" s="426"/>
    </row>
    <row r="139" spans="2:15" hidden="1">
      <c r="B139" s="320" t="s">
        <v>167</v>
      </c>
      <c r="C139" s="324">
        <v>45450</v>
      </c>
      <c r="D139" s="320">
        <v>1388</v>
      </c>
      <c r="E139" s="320" t="s">
        <v>10</v>
      </c>
      <c r="F139" s="320" t="s">
        <v>252</v>
      </c>
      <c r="G139" s="320">
        <v>969667</v>
      </c>
      <c r="H139" s="320"/>
      <c r="I139" s="320"/>
      <c r="J139" s="320"/>
      <c r="K139" s="320"/>
      <c r="L139" s="413">
        <v>800</v>
      </c>
      <c r="M139" s="320"/>
      <c r="N139" s="413">
        <f>L139-(SUM(M139:M155))</f>
        <v>719.47</v>
      </c>
      <c r="O139" s="427">
        <f>(SUM(M139:M155)/N139)</f>
        <v>0.11192961485537965</v>
      </c>
    </row>
    <row r="140" spans="2:15" hidden="1">
      <c r="B140" s="320" t="s">
        <v>167</v>
      </c>
      <c r="C140" s="324">
        <v>45450</v>
      </c>
      <c r="D140" s="320">
        <v>1388</v>
      </c>
      <c r="E140" s="320" t="s">
        <v>10</v>
      </c>
      <c r="F140" s="320" t="s">
        <v>253</v>
      </c>
      <c r="G140" s="320">
        <v>700408</v>
      </c>
      <c r="H140" s="320"/>
      <c r="I140" s="320"/>
      <c r="J140" s="320"/>
      <c r="K140" s="320"/>
      <c r="L140" s="413"/>
      <c r="M140" s="320"/>
      <c r="N140" s="413"/>
      <c r="O140" s="428"/>
    </row>
    <row r="141" spans="2:15" hidden="1">
      <c r="B141" s="320" t="s">
        <v>167</v>
      </c>
      <c r="C141" s="324">
        <v>45450</v>
      </c>
      <c r="D141" s="320">
        <v>1388</v>
      </c>
      <c r="E141" s="320" t="s">
        <v>10</v>
      </c>
      <c r="F141" s="320" t="s">
        <v>254</v>
      </c>
      <c r="G141" s="320">
        <v>967935</v>
      </c>
      <c r="H141" s="320"/>
      <c r="I141" s="320"/>
      <c r="J141" s="320"/>
      <c r="K141" s="320"/>
      <c r="L141" s="413"/>
      <c r="M141" s="320"/>
      <c r="N141" s="413"/>
      <c r="O141" s="428"/>
    </row>
    <row r="142" spans="2:15" hidden="1">
      <c r="B142" s="320" t="s">
        <v>167</v>
      </c>
      <c r="C142" s="324">
        <v>45450</v>
      </c>
      <c r="D142" s="320">
        <v>1388</v>
      </c>
      <c r="E142" s="320" t="s">
        <v>10</v>
      </c>
      <c r="F142" s="320" t="s">
        <v>255</v>
      </c>
      <c r="G142" s="320">
        <v>967513</v>
      </c>
      <c r="H142" s="320"/>
      <c r="I142" s="320"/>
      <c r="J142" s="320"/>
      <c r="K142" s="320"/>
      <c r="L142" s="413"/>
      <c r="M142" s="320"/>
      <c r="N142" s="413"/>
      <c r="O142" s="428"/>
    </row>
    <row r="143" spans="2:15" hidden="1">
      <c r="B143" s="320" t="s">
        <v>167</v>
      </c>
      <c r="C143" s="324">
        <v>45450</v>
      </c>
      <c r="D143" s="320">
        <v>1388</v>
      </c>
      <c r="E143" s="320" t="s">
        <v>10</v>
      </c>
      <c r="F143" s="320" t="s">
        <v>256</v>
      </c>
      <c r="G143" s="320">
        <v>701486</v>
      </c>
      <c r="H143" s="320"/>
      <c r="I143" s="320"/>
      <c r="J143" s="320"/>
      <c r="K143" s="320"/>
      <c r="L143" s="413"/>
      <c r="M143" s="320">
        <v>28.617000000000001</v>
      </c>
      <c r="N143" s="413"/>
      <c r="O143" s="428"/>
    </row>
    <row r="144" spans="2:15" hidden="1">
      <c r="B144" s="320" t="s">
        <v>167</v>
      </c>
      <c r="C144" s="324">
        <v>45450</v>
      </c>
      <c r="D144" s="320">
        <v>1388</v>
      </c>
      <c r="E144" s="320" t="s">
        <v>10</v>
      </c>
      <c r="F144" s="320" t="s">
        <v>257</v>
      </c>
      <c r="G144" s="320">
        <v>968789</v>
      </c>
      <c r="H144" s="320"/>
      <c r="I144" s="320"/>
      <c r="J144" s="320"/>
      <c r="K144" s="320"/>
      <c r="L144" s="413"/>
      <c r="M144" s="320"/>
      <c r="N144" s="413"/>
      <c r="O144" s="428"/>
    </row>
    <row r="145" spans="2:15" hidden="1">
      <c r="B145" s="333" t="s">
        <v>167</v>
      </c>
      <c r="C145" s="324">
        <v>45450</v>
      </c>
      <c r="D145" s="333">
        <v>1388</v>
      </c>
      <c r="E145" s="333" t="s">
        <v>10</v>
      </c>
      <c r="F145" s="333" t="s">
        <v>297</v>
      </c>
      <c r="G145" s="333">
        <v>698811</v>
      </c>
      <c r="H145" s="333"/>
      <c r="I145" s="333"/>
      <c r="J145" s="333"/>
      <c r="K145" s="333"/>
      <c r="L145" s="413"/>
      <c r="M145" s="333">
        <v>0.9</v>
      </c>
      <c r="N145" s="413"/>
      <c r="O145" s="428"/>
    </row>
    <row r="146" spans="2:15" hidden="1">
      <c r="B146" s="333" t="s">
        <v>167</v>
      </c>
      <c r="C146" s="324">
        <v>45450</v>
      </c>
      <c r="D146" s="333">
        <v>1388</v>
      </c>
      <c r="E146" s="333" t="s">
        <v>10</v>
      </c>
      <c r="F146" s="333" t="s">
        <v>298</v>
      </c>
      <c r="G146" s="333">
        <v>699486</v>
      </c>
      <c r="H146" s="333"/>
      <c r="I146" s="333"/>
      <c r="J146" s="333"/>
      <c r="K146" s="333"/>
      <c r="L146" s="413"/>
      <c r="M146" s="333"/>
      <c r="N146" s="413"/>
      <c r="O146" s="428"/>
    </row>
    <row r="147" spans="2:15" hidden="1">
      <c r="B147" s="333" t="s">
        <v>167</v>
      </c>
      <c r="C147" s="324">
        <v>45450</v>
      </c>
      <c r="D147" s="333">
        <v>1388</v>
      </c>
      <c r="E147" s="333" t="s">
        <v>10</v>
      </c>
      <c r="F147" s="333" t="s">
        <v>299</v>
      </c>
      <c r="G147" s="333">
        <v>699254</v>
      </c>
      <c r="H147" s="333"/>
      <c r="I147" s="333"/>
      <c r="J147" s="333"/>
      <c r="K147" s="333"/>
      <c r="L147" s="413"/>
      <c r="M147" s="333"/>
      <c r="N147" s="413"/>
      <c r="O147" s="428"/>
    </row>
    <row r="148" spans="2:15" hidden="1">
      <c r="B148" s="333" t="s">
        <v>167</v>
      </c>
      <c r="C148" s="324">
        <v>45450</v>
      </c>
      <c r="D148" s="333">
        <v>1388</v>
      </c>
      <c r="E148" s="333" t="s">
        <v>10</v>
      </c>
      <c r="F148" s="333" t="s">
        <v>300</v>
      </c>
      <c r="G148" s="333">
        <v>700895</v>
      </c>
      <c r="H148" s="333"/>
      <c r="I148" s="333"/>
      <c r="J148" s="333"/>
      <c r="K148" s="333"/>
      <c r="L148" s="413"/>
      <c r="M148" s="333"/>
      <c r="N148" s="413"/>
      <c r="O148" s="428"/>
    </row>
    <row r="149" spans="2:15" hidden="1">
      <c r="B149" s="333" t="s">
        <v>167</v>
      </c>
      <c r="C149" s="324">
        <v>45450</v>
      </c>
      <c r="D149" s="333">
        <v>1388</v>
      </c>
      <c r="E149" s="333" t="s">
        <v>10</v>
      </c>
      <c r="F149" s="333" t="s">
        <v>301</v>
      </c>
      <c r="G149" s="333">
        <v>969203</v>
      </c>
      <c r="H149" s="333"/>
      <c r="I149" s="333"/>
      <c r="J149" s="333"/>
      <c r="K149" s="333"/>
      <c r="L149" s="413"/>
      <c r="M149" s="333"/>
      <c r="N149" s="413"/>
      <c r="O149" s="428"/>
    </row>
    <row r="150" spans="2:15" hidden="1">
      <c r="B150" s="333" t="s">
        <v>167</v>
      </c>
      <c r="C150" s="324">
        <v>45450</v>
      </c>
      <c r="D150" s="333">
        <v>1388</v>
      </c>
      <c r="E150" s="333" t="s">
        <v>10</v>
      </c>
      <c r="F150" s="333" t="s">
        <v>302</v>
      </c>
      <c r="G150" s="333">
        <v>701575</v>
      </c>
      <c r="H150" s="333"/>
      <c r="I150" s="333"/>
      <c r="J150" s="333"/>
      <c r="K150" s="333"/>
      <c r="L150" s="413"/>
      <c r="M150" s="333"/>
      <c r="N150" s="413"/>
      <c r="O150" s="428"/>
    </row>
    <row r="151" spans="2:15" hidden="1">
      <c r="B151" s="333" t="s">
        <v>167</v>
      </c>
      <c r="C151" s="324">
        <v>45450</v>
      </c>
      <c r="D151" s="333">
        <v>1388</v>
      </c>
      <c r="E151" s="333" t="s">
        <v>10</v>
      </c>
      <c r="F151" s="333" t="s">
        <v>303</v>
      </c>
      <c r="G151" s="333">
        <v>968831</v>
      </c>
      <c r="H151" s="333"/>
      <c r="I151" s="333"/>
      <c r="J151" s="333"/>
      <c r="K151" s="333"/>
      <c r="L151" s="413"/>
      <c r="M151" s="333">
        <v>34.265000000000001</v>
      </c>
      <c r="N151" s="413"/>
      <c r="O151" s="428"/>
    </row>
    <row r="152" spans="2:15" hidden="1">
      <c r="B152" s="333" t="s">
        <v>167</v>
      </c>
      <c r="C152" s="324">
        <v>45450</v>
      </c>
      <c r="D152" s="333">
        <v>1388</v>
      </c>
      <c r="E152" s="333" t="s">
        <v>10</v>
      </c>
      <c r="F152" s="333" t="s">
        <v>304</v>
      </c>
      <c r="G152" s="333">
        <v>699988</v>
      </c>
      <c r="H152" s="333"/>
      <c r="I152" s="333"/>
      <c r="J152" s="333"/>
      <c r="K152" s="333"/>
      <c r="L152" s="413"/>
      <c r="M152" s="333">
        <v>16.748000000000001</v>
      </c>
      <c r="N152" s="413"/>
      <c r="O152" s="428"/>
    </row>
    <row r="153" spans="2:15" hidden="1">
      <c r="B153" s="333" t="s">
        <v>167</v>
      </c>
      <c r="C153" s="324">
        <v>45450</v>
      </c>
      <c r="D153" s="333">
        <v>1388</v>
      </c>
      <c r="E153" s="333" t="s">
        <v>10</v>
      </c>
      <c r="F153" s="333" t="s">
        <v>305</v>
      </c>
      <c r="G153" s="333">
        <v>966479</v>
      </c>
      <c r="H153" s="333"/>
      <c r="I153" s="333"/>
      <c r="J153" s="333"/>
      <c r="K153" s="333"/>
      <c r="L153" s="413"/>
      <c r="M153" s="333"/>
      <c r="N153" s="413"/>
      <c r="O153" s="428"/>
    </row>
    <row r="154" spans="2:15" hidden="1">
      <c r="B154" s="333" t="s">
        <v>167</v>
      </c>
      <c r="C154" s="324">
        <v>45450</v>
      </c>
      <c r="D154" s="333">
        <v>1388</v>
      </c>
      <c r="E154" s="333" t="s">
        <v>10</v>
      </c>
      <c r="F154" s="333" t="s">
        <v>306</v>
      </c>
      <c r="G154" s="333">
        <v>966548</v>
      </c>
      <c r="H154" s="333"/>
      <c r="I154" s="333"/>
      <c r="J154" s="333"/>
      <c r="K154" s="333"/>
      <c r="L154" s="413"/>
      <c r="M154" s="333"/>
      <c r="N154" s="413"/>
      <c r="O154" s="428"/>
    </row>
    <row r="155" spans="2:15" hidden="1">
      <c r="B155" s="320" t="s">
        <v>167</v>
      </c>
      <c r="C155" s="324">
        <v>45450</v>
      </c>
      <c r="D155" s="320">
        <v>1388</v>
      </c>
      <c r="E155" s="320" t="s">
        <v>10</v>
      </c>
      <c r="F155" s="320" t="s">
        <v>275</v>
      </c>
      <c r="G155" s="320">
        <v>702339</v>
      </c>
      <c r="H155" s="320"/>
      <c r="I155" s="320"/>
      <c r="J155" s="320"/>
      <c r="K155" s="320"/>
      <c r="L155" s="413"/>
      <c r="M155" s="320"/>
      <c r="N155" s="413"/>
      <c r="O155" s="429"/>
    </row>
    <row r="156" spans="2:15" hidden="1">
      <c r="B156" s="261" t="s">
        <v>167</v>
      </c>
      <c r="C156" s="326">
        <v>45450</v>
      </c>
      <c r="D156" s="261">
        <v>1391</v>
      </c>
      <c r="E156" s="261" t="s">
        <v>12</v>
      </c>
      <c r="F156" s="261" t="s">
        <v>276</v>
      </c>
      <c r="G156" s="261">
        <v>698764</v>
      </c>
      <c r="H156" s="412">
        <v>3000</v>
      </c>
      <c r="I156" s="261"/>
      <c r="J156" s="412">
        <f>H156-(SUM(I156:I168))</f>
        <v>3000</v>
      </c>
      <c r="K156" s="412">
        <f>(SUM(I156:I168))/H156</f>
        <v>0</v>
      </c>
      <c r="L156" s="261"/>
      <c r="M156" s="261"/>
      <c r="N156" s="261"/>
      <c r="O156" s="261"/>
    </row>
    <row r="157" spans="2:15" hidden="1">
      <c r="B157" s="261" t="s">
        <v>167</v>
      </c>
      <c r="C157" s="326">
        <v>45450</v>
      </c>
      <c r="D157" s="261">
        <v>1391</v>
      </c>
      <c r="E157" s="261" t="s">
        <v>12</v>
      </c>
      <c r="F157" s="261" t="s">
        <v>277</v>
      </c>
      <c r="G157" s="261">
        <v>965267</v>
      </c>
      <c r="H157" s="412"/>
      <c r="I157" s="261"/>
      <c r="J157" s="412"/>
      <c r="K157" s="412"/>
      <c r="L157" s="261"/>
      <c r="M157" s="261"/>
      <c r="N157" s="261"/>
      <c r="O157" s="261"/>
    </row>
    <row r="158" spans="2:15" hidden="1">
      <c r="B158" s="261" t="s">
        <v>167</v>
      </c>
      <c r="C158" s="326">
        <v>45450</v>
      </c>
      <c r="D158" s="261">
        <v>1391</v>
      </c>
      <c r="E158" s="261" t="s">
        <v>12</v>
      </c>
      <c r="F158" s="261" t="s">
        <v>278</v>
      </c>
      <c r="G158" s="261">
        <v>969467</v>
      </c>
      <c r="H158" s="412"/>
      <c r="I158" s="261"/>
      <c r="J158" s="412"/>
      <c r="K158" s="412"/>
      <c r="L158" s="261"/>
      <c r="M158" s="261"/>
      <c r="N158" s="261"/>
      <c r="O158" s="261"/>
    </row>
    <row r="159" spans="2:15" hidden="1">
      <c r="B159" s="261" t="s">
        <v>167</v>
      </c>
      <c r="C159" s="326">
        <v>45450</v>
      </c>
      <c r="D159" s="261">
        <v>1391</v>
      </c>
      <c r="E159" s="261" t="s">
        <v>12</v>
      </c>
      <c r="F159" s="261" t="s">
        <v>279</v>
      </c>
      <c r="G159" s="261">
        <v>702022</v>
      </c>
      <c r="H159" s="412"/>
      <c r="I159" s="261"/>
      <c r="J159" s="412"/>
      <c r="K159" s="412"/>
      <c r="L159" s="261"/>
      <c r="M159" s="261"/>
      <c r="N159" s="261"/>
      <c r="O159" s="261"/>
    </row>
    <row r="160" spans="2:15" hidden="1">
      <c r="B160" s="261" t="s">
        <v>167</v>
      </c>
      <c r="C160" s="326">
        <v>45450</v>
      </c>
      <c r="D160" s="261">
        <v>1391</v>
      </c>
      <c r="E160" s="261" t="s">
        <v>12</v>
      </c>
      <c r="F160" s="261" t="s">
        <v>280</v>
      </c>
      <c r="G160" s="261">
        <v>969387</v>
      </c>
      <c r="H160" s="412"/>
      <c r="I160" s="261"/>
      <c r="J160" s="412"/>
      <c r="K160" s="412"/>
      <c r="L160" s="261"/>
      <c r="M160" s="261"/>
      <c r="N160" s="261"/>
      <c r="O160" s="261"/>
    </row>
    <row r="161" spans="2:15" hidden="1">
      <c r="B161" s="261" t="s">
        <v>167</v>
      </c>
      <c r="C161" s="326">
        <v>45450</v>
      </c>
      <c r="D161" s="261">
        <v>1391</v>
      </c>
      <c r="E161" s="261" t="s">
        <v>12</v>
      </c>
      <c r="F161" s="261" t="s">
        <v>281</v>
      </c>
      <c r="G161" s="261">
        <v>969425</v>
      </c>
      <c r="H161" s="412"/>
      <c r="I161" s="261"/>
      <c r="J161" s="412"/>
      <c r="K161" s="412"/>
      <c r="L161" s="261"/>
      <c r="M161" s="261"/>
      <c r="N161" s="261"/>
      <c r="O161" s="261"/>
    </row>
    <row r="162" spans="2:15" hidden="1">
      <c r="B162" s="261" t="s">
        <v>167</v>
      </c>
      <c r="C162" s="326">
        <v>45450</v>
      </c>
      <c r="D162" s="261">
        <v>1391</v>
      </c>
      <c r="E162" s="261" t="s">
        <v>12</v>
      </c>
      <c r="F162" s="261" t="s">
        <v>282</v>
      </c>
      <c r="G162" s="261">
        <v>968930</v>
      </c>
      <c r="H162" s="412"/>
      <c r="I162" s="261"/>
      <c r="J162" s="412"/>
      <c r="K162" s="412"/>
      <c r="L162" s="261"/>
      <c r="M162" s="261"/>
      <c r="N162" s="261"/>
      <c r="O162" s="261"/>
    </row>
    <row r="163" spans="2:15" hidden="1">
      <c r="B163" s="261" t="s">
        <v>167</v>
      </c>
      <c r="C163" s="326">
        <v>45450</v>
      </c>
      <c r="D163" s="261">
        <v>1391</v>
      </c>
      <c r="E163" s="261" t="s">
        <v>12</v>
      </c>
      <c r="F163" s="261" t="s">
        <v>192</v>
      </c>
      <c r="G163" s="261">
        <v>700755</v>
      </c>
      <c r="H163" s="412"/>
      <c r="I163" s="261"/>
      <c r="J163" s="412"/>
      <c r="K163" s="412"/>
      <c r="L163" s="261"/>
      <c r="M163" s="261"/>
      <c r="N163" s="261"/>
      <c r="O163" s="261"/>
    </row>
    <row r="164" spans="2:15" hidden="1">
      <c r="B164" s="261" t="s">
        <v>167</v>
      </c>
      <c r="C164" s="326">
        <v>45450</v>
      </c>
      <c r="D164" s="261">
        <v>1391</v>
      </c>
      <c r="E164" s="261" t="s">
        <v>12</v>
      </c>
      <c r="F164" s="261" t="s">
        <v>283</v>
      </c>
      <c r="G164" s="261">
        <v>968704</v>
      </c>
      <c r="H164" s="412"/>
      <c r="I164" s="261"/>
      <c r="J164" s="412"/>
      <c r="K164" s="412"/>
      <c r="L164" s="261"/>
      <c r="M164" s="261"/>
      <c r="N164" s="261"/>
      <c r="O164" s="261"/>
    </row>
    <row r="165" spans="2:15" hidden="1">
      <c r="B165" s="261" t="s">
        <v>167</v>
      </c>
      <c r="C165" s="326">
        <v>45450</v>
      </c>
      <c r="D165" s="261">
        <v>1391</v>
      </c>
      <c r="E165" s="261" t="s">
        <v>12</v>
      </c>
      <c r="F165" s="261" t="s">
        <v>284</v>
      </c>
      <c r="G165" s="261">
        <v>700784</v>
      </c>
      <c r="H165" s="412"/>
      <c r="I165" s="261"/>
      <c r="J165" s="412"/>
      <c r="K165" s="412"/>
      <c r="L165" s="261"/>
      <c r="M165" s="261"/>
      <c r="N165" s="261"/>
      <c r="O165" s="261"/>
    </row>
    <row r="166" spans="2:15" hidden="1">
      <c r="B166" s="261" t="s">
        <v>167</v>
      </c>
      <c r="C166" s="326">
        <v>45450</v>
      </c>
      <c r="D166" s="261">
        <v>1391</v>
      </c>
      <c r="E166" s="261" t="s">
        <v>12</v>
      </c>
      <c r="F166" s="261" t="s">
        <v>285</v>
      </c>
      <c r="G166" s="261">
        <v>699979</v>
      </c>
      <c r="H166" s="412"/>
      <c r="I166" s="261"/>
      <c r="J166" s="412"/>
      <c r="K166" s="412"/>
      <c r="L166" s="261"/>
      <c r="M166" s="261"/>
      <c r="N166" s="261"/>
      <c r="O166" s="261"/>
    </row>
    <row r="167" spans="2:15" hidden="1">
      <c r="B167" s="261" t="s">
        <v>167</v>
      </c>
      <c r="C167" s="326">
        <v>45450</v>
      </c>
      <c r="D167" s="261">
        <v>1391</v>
      </c>
      <c r="E167" s="261" t="s">
        <v>12</v>
      </c>
      <c r="F167" s="261" t="s">
        <v>260</v>
      </c>
      <c r="G167" s="261">
        <v>701450</v>
      </c>
      <c r="H167" s="412"/>
      <c r="I167" s="261"/>
      <c r="J167" s="412"/>
      <c r="K167" s="412"/>
      <c r="L167" s="261"/>
      <c r="M167" s="261"/>
      <c r="N167" s="261"/>
      <c r="O167" s="261"/>
    </row>
    <row r="168" spans="2:15" hidden="1">
      <c r="B168" s="261" t="s">
        <v>167</v>
      </c>
      <c r="C168" s="326">
        <v>45450</v>
      </c>
      <c r="D168" s="261">
        <v>1391</v>
      </c>
      <c r="E168" s="261" t="s">
        <v>12</v>
      </c>
      <c r="F168" s="261" t="s">
        <v>286</v>
      </c>
      <c r="G168" s="261">
        <v>700979</v>
      </c>
      <c r="H168" s="412"/>
      <c r="I168" s="261"/>
      <c r="J168" s="412"/>
      <c r="K168" s="412"/>
      <c r="L168" s="261"/>
      <c r="M168" s="261"/>
      <c r="N168" s="261"/>
      <c r="O168" s="261"/>
    </row>
  </sheetData>
  <autoFilter ref="B2:O168">
    <filterColumn colId="2">
      <filters>
        <filter val="1356"/>
      </filters>
    </filterColumn>
    <filterColumn colId="6" showButton="0"/>
    <filterColumn colId="7" showButton="0"/>
    <filterColumn colId="8" showButton="0"/>
    <filterColumn colId="10" showButton="0"/>
    <filterColumn colId="11" showButton="0"/>
    <filterColumn colId="12" showButton="0"/>
  </autoFilter>
  <mergeCells count="43">
    <mergeCell ref="H106:H108"/>
    <mergeCell ref="J106:J108"/>
    <mergeCell ref="K106:K108"/>
    <mergeCell ref="H93:H99"/>
    <mergeCell ref="J93:J99"/>
    <mergeCell ref="K93:K99"/>
    <mergeCell ref="H100:H105"/>
    <mergeCell ref="J100:J105"/>
    <mergeCell ref="K100:K105"/>
    <mergeCell ref="H2:K2"/>
    <mergeCell ref="H5:H12"/>
    <mergeCell ref="J5:J12"/>
    <mergeCell ref="K5:K12"/>
    <mergeCell ref="L2:O2"/>
    <mergeCell ref="S3:W3"/>
    <mergeCell ref="H50:H92"/>
    <mergeCell ref="J50:J92"/>
    <mergeCell ref="H21:H25"/>
    <mergeCell ref="H13:H20"/>
    <mergeCell ref="J13:J20"/>
    <mergeCell ref="O26:O49"/>
    <mergeCell ref="L26:L49"/>
    <mergeCell ref="N26:N49"/>
    <mergeCell ref="K13:K20"/>
    <mergeCell ref="L21:L25"/>
    <mergeCell ref="N21:N25"/>
    <mergeCell ref="O21:O25"/>
    <mergeCell ref="L122:L138"/>
    <mergeCell ref="N122:N138"/>
    <mergeCell ref="O122:O138"/>
    <mergeCell ref="O139:O155"/>
    <mergeCell ref="K50:K92"/>
    <mergeCell ref="O109:O114"/>
    <mergeCell ref="H115:H121"/>
    <mergeCell ref="J115:J121"/>
    <mergeCell ref="K115:K121"/>
    <mergeCell ref="L109:L114"/>
    <mergeCell ref="N109:N114"/>
    <mergeCell ref="H156:H168"/>
    <mergeCell ref="J156:J168"/>
    <mergeCell ref="K156:K168"/>
    <mergeCell ref="L139:L155"/>
    <mergeCell ref="N139:N155"/>
  </mergeCells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B1:T104"/>
  <sheetViews>
    <sheetView topLeftCell="A5" zoomScale="130" zoomScaleNormal="130" workbookViewId="0">
      <selection activeCell="F15" sqref="F15"/>
    </sheetView>
  </sheetViews>
  <sheetFormatPr baseColWidth="10" defaultRowHeight="15"/>
  <cols>
    <col min="3" max="3" width="51.140625" customWidth="1"/>
    <col min="5" max="5" width="12" bestFit="1" customWidth="1"/>
    <col min="6" max="6" width="13.140625" bestFit="1" customWidth="1"/>
    <col min="7" max="7" width="12" bestFit="1" customWidth="1"/>
    <col min="9" max="9" width="12" bestFit="1" customWidth="1"/>
    <col min="10" max="10" width="13" style="17" bestFit="1" customWidth="1"/>
    <col min="11" max="11" width="14.5703125" customWidth="1"/>
    <col min="12" max="12" width="11.5703125" bestFit="1" customWidth="1"/>
    <col min="13" max="13" width="11.85546875" bestFit="1" customWidth="1"/>
    <col min="14" max="14" width="11.42578125" style="3"/>
    <col min="16" max="16" width="13" bestFit="1" customWidth="1"/>
  </cols>
  <sheetData>
    <row r="1" spans="2:20">
      <c r="J1"/>
    </row>
    <row r="2" spans="2:20">
      <c r="J2"/>
    </row>
    <row r="3" spans="2:20">
      <c r="J3"/>
    </row>
    <row r="4" spans="2:20" s="57" customFormat="1">
      <c r="N4" s="3"/>
    </row>
    <row r="5" spans="2:20" s="57" customFormat="1">
      <c r="B5" s="459" t="s">
        <v>155</v>
      </c>
      <c r="C5" s="459"/>
      <c r="D5" s="459"/>
      <c r="E5" s="459"/>
      <c r="F5" s="459"/>
      <c r="G5" s="459"/>
      <c r="H5" s="459"/>
      <c r="I5" s="459"/>
      <c r="J5" s="459"/>
      <c r="K5" s="459"/>
      <c r="L5" s="459"/>
      <c r="M5" s="459"/>
      <c r="N5" s="459"/>
      <c r="O5" s="459"/>
      <c r="P5" s="459"/>
      <c r="T5" s="57">
        <f>SUM(H5:H200)</f>
        <v>0</v>
      </c>
    </row>
    <row r="6" spans="2:20" s="57" customFormat="1">
      <c r="B6" s="459"/>
      <c r="C6" s="459"/>
      <c r="D6" s="459"/>
      <c r="E6" s="459"/>
      <c r="F6" s="459"/>
      <c r="G6" s="459"/>
      <c r="H6" s="459"/>
      <c r="I6" s="459"/>
      <c r="J6" s="459"/>
      <c r="K6" s="459"/>
      <c r="L6" s="459"/>
      <c r="M6" s="459"/>
      <c r="N6" s="459"/>
      <c r="O6" s="459"/>
      <c r="P6" s="459"/>
    </row>
    <row r="7" spans="2:20" s="57" customFormat="1">
      <c r="B7" s="401">
        <f>+Resumen!C4</f>
        <v>45484</v>
      </c>
      <c r="C7" s="401"/>
      <c r="D7" s="401"/>
      <c r="E7" s="401"/>
      <c r="F7" s="401"/>
      <c r="G7" s="401"/>
      <c r="H7" s="401"/>
      <c r="I7" s="401"/>
      <c r="J7" s="401"/>
      <c r="K7" s="401"/>
      <c r="L7" s="401"/>
      <c r="M7" s="401"/>
      <c r="N7" s="401"/>
      <c r="O7" s="401"/>
      <c r="P7" s="401"/>
    </row>
    <row r="8" spans="2:20" s="57" customFormat="1" ht="15.75" thickBot="1">
      <c r="N8" s="3"/>
    </row>
    <row r="9" spans="2:20" ht="15.75" thickBot="1">
      <c r="E9" s="460" t="s">
        <v>117</v>
      </c>
      <c r="F9" s="461"/>
      <c r="G9" s="462"/>
      <c r="H9" s="460" t="s">
        <v>116</v>
      </c>
      <c r="I9" s="461"/>
      <c r="J9" s="462"/>
      <c r="K9" s="460" t="s">
        <v>63</v>
      </c>
      <c r="L9" s="461"/>
      <c r="M9" s="461"/>
      <c r="N9" s="461"/>
      <c r="O9" s="461"/>
      <c r="P9" s="462"/>
    </row>
    <row r="10" spans="2:20" ht="60.75" thickBot="1">
      <c r="B10" s="94" t="s">
        <v>17</v>
      </c>
      <c r="C10" s="95" t="s">
        <v>59</v>
      </c>
      <c r="D10" s="96" t="s">
        <v>34</v>
      </c>
      <c r="E10" s="97" t="s">
        <v>30</v>
      </c>
      <c r="F10" s="97" t="s">
        <v>60</v>
      </c>
      <c r="G10" s="97" t="s">
        <v>31</v>
      </c>
      <c r="H10" s="96" t="s">
        <v>61</v>
      </c>
      <c r="I10" s="96" t="s">
        <v>62</v>
      </c>
      <c r="J10" s="98" t="s">
        <v>35</v>
      </c>
      <c r="K10" s="99" t="s">
        <v>30</v>
      </c>
      <c r="L10" s="97" t="s">
        <v>60</v>
      </c>
      <c r="M10" s="97" t="s">
        <v>31</v>
      </c>
      <c r="N10" s="96" t="s">
        <v>61</v>
      </c>
      <c r="O10" s="96" t="s">
        <v>62</v>
      </c>
      <c r="P10" s="98" t="s">
        <v>35</v>
      </c>
    </row>
    <row r="11" spans="2:20" ht="15.75" thickBot="1">
      <c r="B11" s="466" t="s">
        <v>18</v>
      </c>
      <c r="C11" s="121" t="s">
        <v>36</v>
      </c>
      <c r="D11" s="100" t="s">
        <v>50</v>
      </c>
      <c r="E11" s="143">
        <v>5106.2299999999996</v>
      </c>
      <c r="F11" s="282"/>
      <c r="G11" s="18">
        <f>+E11+F11</f>
        <v>5106.2299999999996</v>
      </c>
      <c r="H11" s="5"/>
      <c r="I11" s="18">
        <f>+G11-H11</f>
        <v>5106.2299999999996</v>
      </c>
      <c r="J11" s="49">
        <f>+H11/G11</f>
        <v>0</v>
      </c>
      <c r="K11" s="118">
        <f>E11</f>
        <v>5106.2299999999996</v>
      </c>
      <c r="L11" s="115">
        <f t="shared" ref="L11:L12" si="0">F11</f>
        <v>0</v>
      </c>
      <c r="M11" s="116">
        <f t="shared" ref="M11:M16" si="1">+K11+L11</f>
        <v>5106.2299999999996</v>
      </c>
      <c r="N11" s="115">
        <f>H11</f>
        <v>0</v>
      </c>
      <c r="O11" s="116">
        <f>+M11-N11</f>
        <v>5106.2299999999996</v>
      </c>
      <c r="P11" s="113">
        <f t="shared" ref="P11:P18" si="2">+N11/M11</f>
        <v>0</v>
      </c>
    </row>
    <row r="12" spans="2:20">
      <c r="B12" s="468"/>
      <c r="C12" s="122" t="s">
        <v>37</v>
      </c>
      <c r="D12" s="100" t="s">
        <v>50</v>
      </c>
      <c r="E12" s="154">
        <v>140184.859</v>
      </c>
      <c r="F12" s="349">
        <f>-50000</f>
        <v>-50000</v>
      </c>
      <c r="G12" s="350">
        <f>+E12+F12</f>
        <v>90184.858999999997</v>
      </c>
      <c r="H12" s="351"/>
      <c r="I12" s="350">
        <f>+G12-H12</f>
        <v>90184.858999999997</v>
      </c>
      <c r="J12" s="352">
        <f>+H12/G12</f>
        <v>0</v>
      </c>
      <c r="K12" s="353">
        <f>E12</f>
        <v>140184.859</v>
      </c>
      <c r="L12" s="354">
        <f t="shared" si="0"/>
        <v>-50000</v>
      </c>
      <c r="M12" s="355">
        <f t="shared" si="1"/>
        <v>90184.858999999997</v>
      </c>
      <c r="N12" s="354">
        <f>H12</f>
        <v>0</v>
      </c>
      <c r="O12" s="355">
        <f>+M12-N12</f>
        <v>90184.858999999997</v>
      </c>
      <c r="P12" s="356">
        <f>+N12/M12</f>
        <v>0</v>
      </c>
    </row>
    <row r="13" spans="2:20" s="57" customFormat="1">
      <c r="B13" s="468"/>
      <c r="C13" s="122" t="s">
        <v>38</v>
      </c>
      <c r="D13" s="100" t="s">
        <v>50</v>
      </c>
      <c r="E13" s="306">
        <v>413363.38500000001</v>
      </c>
      <c r="F13" s="347">
        <f>-100000-15000-15000-3000</f>
        <v>-133000</v>
      </c>
      <c r="G13" s="308">
        <f t="shared" ref="G13" si="3">+E13+F13</f>
        <v>280363.38500000001</v>
      </c>
      <c r="H13" s="348"/>
      <c r="I13" s="308">
        <f>+G13-H13</f>
        <v>280363.38500000001</v>
      </c>
      <c r="J13" s="357">
        <f>+H13/G13</f>
        <v>0</v>
      </c>
      <c r="K13" s="358">
        <f>E13</f>
        <v>413363.38500000001</v>
      </c>
      <c r="L13" s="335">
        <f>F13</f>
        <v>-133000</v>
      </c>
      <c r="M13" s="359">
        <f t="shared" si="1"/>
        <v>280363.38500000001</v>
      </c>
      <c r="N13" s="335">
        <f t="shared" ref="N13:N14" si="4">H13</f>
        <v>0</v>
      </c>
      <c r="O13" s="359">
        <f>+M13-N13</f>
        <v>280363.38500000001</v>
      </c>
      <c r="P13" s="227">
        <f>+N13/M13</f>
        <v>0</v>
      </c>
    </row>
    <row r="14" spans="2:20" s="57" customFormat="1">
      <c r="B14" s="468"/>
      <c r="C14" s="364" t="s">
        <v>157</v>
      </c>
      <c r="D14" s="100" t="s">
        <v>50</v>
      </c>
      <c r="E14" s="306">
        <v>17974.358</v>
      </c>
      <c r="F14" s="347">
        <f>-16731.47-'MOVIMIENTO INDUSTRIAL'!H7-'MOVIMIENTO INDUSTRIAL'!H8-'MOVIMIENTO INDUSTRIAL'!H9-'MOVIMIENTO INDUSTRIAL'!H10-'MOVIMIENTO INDUSTRIAL'!H11</f>
        <v>-21949.831999999999</v>
      </c>
      <c r="G14" s="308">
        <f>+E14+F14</f>
        <v>-3975.4739999999983</v>
      </c>
      <c r="H14" s="348"/>
      <c r="I14" s="308">
        <f>+G14-H14</f>
        <v>-3975.4739999999983</v>
      </c>
      <c r="J14" s="357">
        <f t="shared" ref="J14" si="5">+H14/G14</f>
        <v>0</v>
      </c>
      <c r="K14" s="358">
        <f t="shared" ref="K14:K15" si="6">E14</f>
        <v>17974.358</v>
      </c>
      <c r="L14" s="335">
        <f>F14</f>
        <v>-21949.831999999999</v>
      </c>
      <c r="M14" s="359">
        <f t="shared" si="1"/>
        <v>-3975.4739999999983</v>
      </c>
      <c r="N14" s="335">
        <f t="shared" si="4"/>
        <v>0</v>
      </c>
      <c r="O14" s="359">
        <f t="shared" ref="O14" si="7">+M14-N14</f>
        <v>-3975.4739999999983</v>
      </c>
      <c r="P14" s="227">
        <f>+N14/M14</f>
        <v>0</v>
      </c>
    </row>
    <row r="15" spans="2:20" s="57" customFormat="1">
      <c r="B15" s="472"/>
      <c r="C15" s="364" t="s">
        <v>314</v>
      </c>
      <c r="D15" s="100" t="s">
        <v>50</v>
      </c>
      <c r="E15" s="306">
        <v>0</v>
      </c>
      <c r="F15" s="347">
        <f>'MOVIMIENTO INDUSTRIAL'!H7+'MOVIMIENTO INDUSTRIAL'!H8+'MOVIMIENTO INDUSTRIAL'!H9+'MOVIMIENTO INDUSTRIAL'!H10+'MOVIMIENTO INDUSTRIAL'!H11</f>
        <v>5218.3619999999992</v>
      </c>
      <c r="G15" s="308">
        <f>F15</f>
        <v>5218.3619999999992</v>
      </c>
      <c r="H15" s="348"/>
      <c r="I15" s="308">
        <f t="shared" ref="I15" si="8">+G15-H15</f>
        <v>5218.3619999999992</v>
      </c>
      <c r="J15" s="357">
        <f>+H15/G15</f>
        <v>0</v>
      </c>
      <c r="K15" s="358">
        <f t="shared" si="6"/>
        <v>0</v>
      </c>
      <c r="L15" s="335">
        <f>F15</f>
        <v>5218.3619999999992</v>
      </c>
      <c r="M15" s="359">
        <f t="shared" si="1"/>
        <v>5218.3619999999992</v>
      </c>
      <c r="N15" s="335">
        <f t="shared" ref="N15" si="9">H15</f>
        <v>0</v>
      </c>
      <c r="O15" s="359">
        <f t="shared" ref="O15" si="10">+M15-N15</f>
        <v>5218.3619999999992</v>
      </c>
      <c r="P15" s="227">
        <f t="shared" ref="P15" si="11">+N15/M15</f>
        <v>0</v>
      </c>
    </row>
    <row r="16" spans="2:20" s="57" customFormat="1" ht="15.75" thickBot="1">
      <c r="B16" s="469"/>
      <c r="C16" s="122" t="s">
        <v>158</v>
      </c>
      <c r="D16" s="100" t="s">
        <v>50</v>
      </c>
      <c r="E16" s="360">
        <v>3188.9989999999998</v>
      </c>
      <c r="F16" s="347">
        <v>-3173.2089999999998</v>
      </c>
      <c r="G16" s="308">
        <f>+E16+F16</f>
        <v>15.789999999999964</v>
      </c>
      <c r="H16" s="309"/>
      <c r="I16" s="308">
        <f>+G16-H16</f>
        <v>15.789999999999964</v>
      </c>
      <c r="J16" s="357">
        <f>+H16/G16</f>
        <v>0</v>
      </c>
      <c r="K16" s="361">
        <f>E16</f>
        <v>3188.9989999999998</v>
      </c>
      <c r="L16" s="362">
        <f>F16</f>
        <v>-3173.2089999999998</v>
      </c>
      <c r="M16" s="363">
        <f t="shared" si="1"/>
        <v>15.789999999999964</v>
      </c>
      <c r="N16" s="362">
        <f>H16</f>
        <v>0</v>
      </c>
      <c r="O16" s="363">
        <f>+M16-N16</f>
        <v>15.789999999999964</v>
      </c>
      <c r="P16" s="227">
        <f t="shared" si="2"/>
        <v>0</v>
      </c>
    </row>
    <row r="17" spans="2:16" s="7" customFormat="1" ht="15.75" thickBot="1">
      <c r="B17" s="19"/>
      <c r="C17" s="20"/>
      <c r="D17" s="166"/>
      <c r="E17" s="167">
        <f>SUM(E11:E16)</f>
        <v>579817.83100000001</v>
      </c>
      <c r="F17" s="283"/>
      <c r="G17" s="169"/>
      <c r="H17" s="168"/>
      <c r="I17" s="168"/>
      <c r="J17" s="170"/>
      <c r="K17" s="171">
        <f>SUM(K11:K16)</f>
        <v>579817.83100000001</v>
      </c>
      <c r="L17" s="172">
        <f>SUM(L11:L16)</f>
        <v>-202904.679</v>
      </c>
      <c r="M17" s="173">
        <f>SUM(M11:M16)</f>
        <v>376913.152</v>
      </c>
      <c r="N17" s="174">
        <f>SUM(N11:N16)</f>
        <v>0</v>
      </c>
      <c r="O17" s="173">
        <f>SUM(O11:O16)</f>
        <v>376913.152</v>
      </c>
      <c r="P17" s="60">
        <f t="shared" si="2"/>
        <v>0</v>
      </c>
    </row>
    <row r="18" spans="2:16" ht="20.100000000000001" customHeight="1" thickBot="1">
      <c r="B18" s="466" t="s">
        <v>21</v>
      </c>
      <c r="C18" s="123" t="s">
        <v>47</v>
      </c>
      <c r="D18" s="100" t="s">
        <v>50</v>
      </c>
      <c r="E18" s="153">
        <v>320.791</v>
      </c>
      <c r="F18" s="158"/>
      <c r="G18" s="18">
        <f>+E18+F18</f>
        <v>320.791</v>
      </c>
      <c r="H18" s="5"/>
      <c r="I18" s="18">
        <f>+G18-H18</f>
        <v>320.791</v>
      </c>
      <c r="J18" s="163">
        <f>+H18/G18</f>
        <v>0</v>
      </c>
      <c r="K18" s="164">
        <f>+E18</f>
        <v>320.791</v>
      </c>
      <c r="L18" s="165">
        <f>+F18</f>
        <v>0</v>
      </c>
      <c r="M18" s="164">
        <f>+K18+L18</f>
        <v>320.791</v>
      </c>
      <c r="N18" s="165">
        <f>+H18</f>
        <v>0</v>
      </c>
      <c r="O18" s="164">
        <f>+M18-N18</f>
        <v>320.791</v>
      </c>
      <c r="P18" s="47">
        <f t="shared" si="2"/>
        <v>0</v>
      </c>
    </row>
    <row r="19" spans="2:16" s="57" customFormat="1" ht="20.100000000000001" customHeight="1" thickBot="1">
      <c r="B19" s="467"/>
      <c r="C19" s="152" t="s">
        <v>54</v>
      </c>
      <c r="D19" s="100" t="s">
        <v>50</v>
      </c>
      <c r="E19" s="153">
        <v>1710.798</v>
      </c>
      <c r="F19" s="158"/>
      <c r="G19" s="18">
        <f>+E19+F19</f>
        <v>1710.798</v>
      </c>
      <c r="H19" s="5"/>
      <c r="I19" s="18">
        <f>+G19-H19</f>
        <v>1710.798</v>
      </c>
      <c r="J19" s="159">
        <f>+H19/G19</f>
        <v>0</v>
      </c>
      <c r="K19" s="160">
        <f>+E19</f>
        <v>1710.798</v>
      </c>
      <c r="L19" s="161">
        <f>+F19</f>
        <v>0</v>
      </c>
      <c r="M19" s="162">
        <f>+K19+L19</f>
        <v>1710.798</v>
      </c>
      <c r="N19" s="161">
        <f>+H19</f>
        <v>0</v>
      </c>
      <c r="O19" s="162">
        <f>+M19-N19</f>
        <v>1710.798</v>
      </c>
      <c r="P19" s="47">
        <f t="shared" ref="P19" si="12">+N19/M19</f>
        <v>0</v>
      </c>
    </row>
    <row r="20" spans="2:16" ht="20.100000000000001" customHeight="1" thickBot="1">
      <c r="B20" s="468"/>
      <c r="C20" s="125" t="s">
        <v>46</v>
      </c>
      <c r="D20" s="101" t="s">
        <v>50</v>
      </c>
      <c r="E20" s="102">
        <v>229.137</v>
      </c>
      <c r="F20" s="82"/>
      <c r="G20" s="16">
        <f t="shared" ref="G20:G31" si="13">+E20+F20</f>
        <v>229.137</v>
      </c>
      <c r="H20" s="4"/>
      <c r="I20" s="16">
        <f t="shared" ref="I20:I31" si="14">+G20-H20</f>
        <v>229.137</v>
      </c>
      <c r="J20" s="34">
        <f t="shared" ref="J20:J31" si="15">+H20/G20</f>
        <v>0</v>
      </c>
      <c r="K20" s="48">
        <f t="shared" ref="K20:K31" si="16">+E20</f>
        <v>229.137</v>
      </c>
      <c r="L20" s="40">
        <f t="shared" ref="L20:L31" si="17">+F20</f>
        <v>0</v>
      </c>
      <c r="M20" s="39">
        <f t="shared" ref="M20:M31" si="18">+K20+L20</f>
        <v>229.137</v>
      </c>
      <c r="N20" s="40">
        <f t="shared" ref="N20:N31" si="19">+H20</f>
        <v>0</v>
      </c>
      <c r="O20" s="39">
        <f t="shared" ref="O20:O31" si="20">+M20-N20</f>
        <v>229.137</v>
      </c>
      <c r="P20" s="47">
        <f t="shared" ref="P20:P31" si="21">+N20/M20</f>
        <v>0</v>
      </c>
    </row>
    <row r="21" spans="2:16" ht="20.100000000000001" customHeight="1" thickBot="1">
      <c r="B21" s="468"/>
      <c r="C21" s="124" t="s">
        <v>39</v>
      </c>
      <c r="D21" s="101" t="s">
        <v>50</v>
      </c>
      <c r="E21" s="102">
        <v>13365.611999999999</v>
      </c>
      <c r="F21" s="82"/>
      <c r="G21" s="16">
        <f t="shared" si="13"/>
        <v>13365.611999999999</v>
      </c>
      <c r="H21" s="4"/>
      <c r="I21" s="16">
        <f t="shared" si="14"/>
        <v>13365.611999999999</v>
      </c>
      <c r="J21" s="34">
        <f t="shared" si="15"/>
        <v>0</v>
      </c>
      <c r="K21" s="48">
        <f t="shared" si="16"/>
        <v>13365.611999999999</v>
      </c>
      <c r="L21" s="40">
        <f t="shared" si="17"/>
        <v>0</v>
      </c>
      <c r="M21" s="39">
        <f t="shared" si="18"/>
        <v>13365.611999999999</v>
      </c>
      <c r="N21" s="40">
        <f t="shared" si="19"/>
        <v>0</v>
      </c>
      <c r="O21" s="39">
        <f t="shared" si="20"/>
        <v>13365.611999999999</v>
      </c>
      <c r="P21" s="47">
        <f t="shared" si="21"/>
        <v>0</v>
      </c>
    </row>
    <row r="22" spans="2:16" ht="20.100000000000001" customHeight="1" thickBot="1">
      <c r="B22" s="468"/>
      <c r="C22" s="124" t="s">
        <v>40</v>
      </c>
      <c r="D22" s="101" t="s">
        <v>50</v>
      </c>
      <c r="E22" s="102">
        <v>98.686999999999998</v>
      </c>
      <c r="F22" s="82"/>
      <c r="G22" s="16">
        <f t="shared" si="13"/>
        <v>98.686999999999998</v>
      </c>
      <c r="H22" s="4"/>
      <c r="I22" s="16">
        <f t="shared" si="14"/>
        <v>98.686999999999998</v>
      </c>
      <c r="J22" s="34">
        <f t="shared" si="15"/>
        <v>0</v>
      </c>
      <c r="K22" s="48">
        <f t="shared" si="16"/>
        <v>98.686999999999998</v>
      </c>
      <c r="L22" s="40">
        <f t="shared" si="17"/>
        <v>0</v>
      </c>
      <c r="M22" s="39">
        <f t="shared" si="18"/>
        <v>98.686999999999998</v>
      </c>
      <c r="N22" s="40">
        <f t="shared" si="19"/>
        <v>0</v>
      </c>
      <c r="O22" s="39">
        <f t="shared" si="20"/>
        <v>98.686999999999998</v>
      </c>
      <c r="P22" s="47">
        <f t="shared" si="21"/>
        <v>0</v>
      </c>
    </row>
    <row r="23" spans="2:16" ht="20.100000000000001" customHeight="1" thickBot="1">
      <c r="B23" s="468"/>
      <c r="C23" s="124" t="s">
        <v>43</v>
      </c>
      <c r="D23" s="101" t="s">
        <v>50</v>
      </c>
      <c r="E23" s="147">
        <v>826.92700000000002</v>
      </c>
      <c r="F23" s="82"/>
      <c r="G23" s="16">
        <f t="shared" si="13"/>
        <v>826.92700000000002</v>
      </c>
      <c r="H23" s="4"/>
      <c r="I23" s="16">
        <f t="shared" si="14"/>
        <v>826.92700000000002</v>
      </c>
      <c r="J23" s="34">
        <f t="shared" si="15"/>
        <v>0</v>
      </c>
      <c r="K23" s="48">
        <f t="shared" si="16"/>
        <v>826.92700000000002</v>
      </c>
      <c r="L23" s="40">
        <f t="shared" si="17"/>
        <v>0</v>
      </c>
      <c r="M23" s="39">
        <f t="shared" si="18"/>
        <v>826.92700000000002</v>
      </c>
      <c r="N23" s="40">
        <f t="shared" si="19"/>
        <v>0</v>
      </c>
      <c r="O23" s="39">
        <f t="shared" si="20"/>
        <v>826.92700000000002</v>
      </c>
      <c r="P23" s="47">
        <f t="shared" si="21"/>
        <v>0</v>
      </c>
    </row>
    <row r="24" spans="2:16" ht="20.100000000000001" customHeight="1" thickBot="1">
      <c r="B24" s="468"/>
      <c r="C24" s="124" t="s">
        <v>41</v>
      </c>
      <c r="D24" s="101" t="s">
        <v>50</v>
      </c>
      <c r="E24" s="102">
        <v>23.632000000000001</v>
      </c>
      <c r="F24" s="82"/>
      <c r="G24" s="16">
        <f t="shared" si="13"/>
        <v>23.632000000000001</v>
      </c>
      <c r="H24" s="4"/>
      <c r="I24" s="16">
        <f t="shared" si="14"/>
        <v>23.632000000000001</v>
      </c>
      <c r="J24" s="34">
        <f t="shared" si="15"/>
        <v>0</v>
      </c>
      <c r="K24" s="48">
        <f t="shared" si="16"/>
        <v>23.632000000000001</v>
      </c>
      <c r="L24" s="40">
        <f t="shared" si="17"/>
        <v>0</v>
      </c>
      <c r="M24" s="39">
        <f t="shared" si="18"/>
        <v>23.632000000000001</v>
      </c>
      <c r="N24" s="40">
        <f t="shared" si="19"/>
        <v>0</v>
      </c>
      <c r="O24" s="39">
        <f t="shared" si="20"/>
        <v>23.632000000000001</v>
      </c>
      <c r="P24" s="47">
        <f t="shared" si="21"/>
        <v>0</v>
      </c>
    </row>
    <row r="25" spans="2:16" ht="20.100000000000001" customHeight="1" thickBot="1">
      <c r="B25" s="468"/>
      <c r="C25" s="125" t="s">
        <v>48</v>
      </c>
      <c r="D25" s="101" t="s">
        <v>50</v>
      </c>
      <c r="E25" s="102">
        <v>122.206</v>
      </c>
      <c r="F25" s="82"/>
      <c r="G25" s="16">
        <f t="shared" si="13"/>
        <v>122.206</v>
      </c>
      <c r="H25" s="4"/>
      <c r="I25" s="16">
        <f t="shared" si="14"/>
        <v>122.206</v>
      </c>
      <c r="J25" s="34">
        <f t="shared" si="15"/>
        <v>0</v>
      </c>
      <c r="K25" s="48">
        <f t="shared" si="16"/>
        <v>122.206</v>
      </c>
      <c r="L25" s="40">
        <f t="shared" si="17"/>
        <v>0</v>
      </c>
      <c r="M25" s="39">
        <f t="shared" si="18"/>
        <v>122.206</v>
      </c>
      <c r="N25" s="40">
        <f t="shared" si="19"/>
        <v>0</v>
      </c>
      <c r="O25" s="39">
        <f t="shared" si="20"/>
        <v>122.206</v>
      </c>
      <c r="P25" s="47">
        <f t="shared" si="21"/>
        <v>0</v>
      </c>
    </row>
    <row r="26" spans="2:16" ht="20.100000000000001" customHeight="1" thickBot="1">
      <c r="B26" s="468"/>
      <c r="C26" s="124" t="s">
        <v>45</v>
      </c>
      <c r="D26" s="101" t="s">
        <v>50</v>
      </c>
      <c r="E26" s="102">
        <v>76.379000000000005</v>
      </c>
      <c r="F26" s="82"/>
      <c r="G26" s="16">
        <f t="shared" si="13"/>
        <v>76.379000000000005</v>
      </c>
      <c r="H26" s="4"/>
      <c r="I26" s="16">
        <f t="shared" si="14"/>
        <v>76.379000000000005</v>
      </c>
      <c r="J26" s="34">
        <f t="shared" si="15"/>
        <v>0</v>
      </c>
      <c r="K26" s="48">
        <f t="shared" si="16"/>
        <v>76.379000000000005</v>
      </c>
      <c r="L26" s="40">
        <f t="shared" si="17"/>
        <v>0</v>
      </c>
      <c r="M26" s="39">
        <f t="shared" si="18"/>
        <v>76.379000000000005</v>
      </c>
      <c r="N26" s="40">
        <f t="shared" si="19"/>
        <v>0</v>
      </c>
      <c r="O26" s="39">
        <f t="shared" si="20"/>
        <v>76.379000000000005</v>
      </c>
      <c r="P26" s="47">
        <f t="shared" si="21"/>
        <v>0</v>
      </c>
    </row>
    <row r="27" spans="2:16" ht="20.100000000000001" customHeight="1" thickBot="1">
      <c r="B27" s="468"/>
      <c r="C27" s="125" t="s">
        <v>49</v>
      </c>
      <c r="D27" s="101" t="s">
        <v>50</v>
      </c>
      <c r="E27" s="102">
        <v>122.206</v>
      </c>
      <c r="F27" s="82"/>
      <c r="G27" s="16">
        <f t="shared" si="13"/>
        <v>122.206</v>
      </c>
      <c r="H27" s="4"/>
      <c r="I27" s="16">
        <f t="shared" si="14"/>
        <v>122.206</v>
      </c>
      <c r="J27" s="34">
        <f t="shared" si="15"/>
        <v>0</v>
      </c>
      <c r="K27" s="48">
        <f t="shared" si="16"/>
        <v>122.206</v>
      </c>
      <c r="L27" s="40">
        <f t="shared" si="17"/>
        <v>0</v>
      </c>
      <c r="M27" s="39">
        <f t="shared" si="18"/>
        <v>122.206</v>
      </c>
      <c r="N27" s="40">
        <f t="shared" si="19"/>
        <v>0</v>
      </c>
      <c r="O27" s="39">
        <f t="shared" si="20"/>
        <v>122.206</v>
      </c>
      <c r="P27" s="47">
        <f t="shared" si="21"/>
        <v>0</v>
      </c>
    </row>
    <row r="28" spans="2:16" ht="20.100000000000001" customHeight="1" thickBot="1">
      <c r="B28" s="468"/>
      <c r="C28" s="124" t="s">
        <v>44</v>
      </c>
      <c r="D28" s="101" t="s">
        <v>50</v>
      </c>
      <c r="E28" s="102">
        <v>2.8540000000000001</v>
      </c>
      <c r="F28" s="82">
        <f>-0.307</f>
        <v>-0.307</v>
      </c>
      <c r="G28" s="16">
        <f t="shared" si="13"/>
        <v>2.5470000000000002</v>
      </c>
      <c r="H28" s="4"/>
      <c r="I28" s="16">
        <f t="shared" si="14"/>
        <v>2.5470000000000002</v>
      </c>
      <c r="J28" s="34">
        <f t="shared" si="15"/>
        <v>0</v>
      </c>
      <c r="K28" s="48">
        <f t="shared" si="16"/>
        <v>2.8540000000000001</v>
      </c>
      <c r="L28" s="40">
        <f t="shared" si="17"/>
        <v>-0.307</v>
      </c>
      <c r="M28" s="39">
        <f t="shared" si="18"/>
        <v>2.5470000000000002</v>
      </c>
      <c r="N28" s="40">
        <f t="shared" si="19"/>
        <v>0</v>
      </c>
      <c r="O28" s="39">
        <f t="shared" si="20"/>
        <v>2.5470000000000002</v>
      </c>
      <c r="P28" s="47">
        <f t="shared" si="21"/>
        <v>0</v>
      </c>
    </row>
    <row r="29" spans="2:16" ht="20.100000000000001" customHeight="1" thickBot="1">
      <c r="B29" s="468"/>
      <c r="C29" s="124" t="s">
        <v>42</v>
      </c>
      <c r="D29" s="101" t="s">
        <v>50</v>
      </c>
      <c r="E29" s="102">
        <v>13004.216</v>
      </c>
      <c r="F29" s="325">
        <f>-3000</f>
        <v>-3000</v>
      </c>
      <c r="G29" s="16">
        <f>+E29+F29</f>
        <v>10004.216</v>
      </c>
      <c r="H29" s="4"/>
      <c r="I29" s="16">
        <f>+G29-H29</f>
        <v>10004.216</v>
      </c>
      <c r="J29" s="34">
        <f t="shared" si="15"/>
        <v>0</v>
      </c>
      <c r="K29" s="48">
        <f t="shared" si="16"/>
        <v>13004.216</v>
      </c>
      <c r="L29" s="40">
        <f t="shared" si="17"/>
        <v>-3000</v>
      </c>
      <c r="M29" s="39">
        <f>+K29+L29</f>
        <v>10004.216</v>
      </c>
      <c r="N29" s="40">
        <f t="shared" si="19"/>
        <v>0</v>
      </c>
      <c r="O29" s="39">
        <f t="shared" si="20"/>
        <v>10004.216</v>
      </c>
      <c r="P29" s="47">
        <f>+N29/M29</f>
        <v>0</v>
      </c>
    </row>
    <row r="30" spans="2:16" s="57" customFormat="1" ht="20.100000000000001" customHeight="1" thickBot="1">
      <c r="B30" s="468"/>
      <c r="C30" s="124" t="s">
        <v>258</v>
      </c>
      <c r="D30" s="305" t="s">
        <v>55</v>
      </c>
      <c r="E30" s="306">
        <v>0</v>
      </c>
      <c r="F30" s="307">
        <f>0.307</f>
        <v>0.307</v>
      </c>
      <c r="G30" s="308">
        <f t="shared" si="13"/>
        <v>0.307</v>
      </c>
      <c r="H30" s="309"/>
      <c r="I30" s="308">
        <f t="shared" si="14"/>
        <v>0.307</v>
      </c>
      <c r="J30" s="34">
        <f t="shared" si="15"/>
        <v>0</v>
      </c>
      <c r="K30" s="48">
        <f t="shared" si="16"/>
        <v>0</v>
      </c>
      <c r="L30" s="310">
        <f>F30</f>
        <v>0.307</v>
      </c>
      <c r="M30" s="39">
        <f t="shared" si="18"/>
        <v>0.307</v>
      </c>
      <c r="N30" s="40">
        <f>H30</f>
        <v>0</v>
      </c>
      <c r="O30" s="39">
        <f t="shared" si="20"/>
        <v>0.307</v>
      </c>
      <c r="P30" s="47">
        <f t="shared" si="21"/>
        <v>0</v>
      </c>
    </row>
    <row r="31" spans="2:16" ht="20.100000000000001" customHeight="1" thickBot="1">
      <c r="B31" s="468"/>
      <c r="C31" s="124" t="s">
        <v>115</v>
      </c>
      <c r="D31" s="101" t="s">
        <v>50</v>
      </c>
      <c r="E31" s="102">
        <v>351.34300000000002</v>
      </c>
      <c r="F31" s="82"/>
      <c r="G31" s="16">
        <f t="shared" si="13"/>
        <v>351.34300000000002</v>
      </c>
      <c r="H31" s="4"/>
      <c r="I31" s="16">
        <f t="shared" si="14"/>
        <v>351.34300000000002</v>
      </c>
      <c r="J31" s="34">
        <f t="shared" si="15"/>
        <v>0</v>
      </c>
      <c r="K31" s="48">
        <f t="shared" si="16"/>
        <v>351.34300000000002</v>
      </c>
      <c r="L31" s="40">
        <f t="shared" si="17"/>
        <v>0</v>
      </c>
      <c r="M31" s="39">
        <f t="shared" si="18"/>
        <v>351.34300000000002</v>
      </c>
      <c r="N31" s="40">
        <f t="shared" si="19"/>
        <v>0</v>
      </c>
      <c r="O31" s="39">
        <f t="shared" si="20"/>
        <v>351.34300000000002</v>
      </c>
      <c r="P31" s="47">
        <f t="shared" si="21"/>
        <v>0</v>
      </c>
    </row>
    <row r="32" spans="2:16" s="57" customFormat="1" ht="20.100000000000001" customHeight="1" thickBot="1">
      <c r="B32" s="469"/>
      <c r="C32" s="175" t="s">
        <v>156</v>
      </c>
      <c r="D32" s="101" t="s">
        <v>50</v>
      </c>
      <c r="E32" s="154">
        <v>296.71300000000002</v>
      </c>
      <c r="F32" s="155"/>
      <c r="G32" s="16">
        <f t="shared" ref="G32" si="22">+E32+F32</f>
        <v>296.71300000000002</v>
      </c>
      <c r="H32" s="4"/>
      <c r="I32" s="16">
        <f t="shared" ref="I32" si="23">+G32-H32</f>
        <v>296.71300000000002</v>
      </c>
      <c r="J32" s="34">
        <f t="shared" ref="J32" si="24">+H32/G32</f>
        <v>0</v>
      </c>
      <c r="K32" s="48">
        <f t="shared" ref="K32" si="25">+E32</f>
        <v>296.71300000000002</v>
      </c>
      <c r="L32" s="40">
        <f t="shared" ref="L32" si="26">+F32</f>
        <v>0</v>
      </c>
      <c r="M32" s="39">
        <f t="shared" ref="M32" si="27">+K32+L32</f>
        <v>296.71300000000002</v>
      </c>
      <c r="N32" s="40">
        <f t="shared" ref="N32" si="28">+H32</f>
        <v>0</v>
      </c>
      <c r="O32" s="39">
        <f t="shared" ref="O32" si="29">+M32-N32</f>
        <v>296.71300000000002</v>
      </c>
      <c r="P32" s="47">
        <f t="shared" ref="P32" si="30">+N32/M32</f>
        <v>0</v>
      </c>
    </row>
    <row r="33" spans="2:16" s="8" customFormat="1" ht="15.75" thickBot="1">
      <c r="B33" s="19"/>
      <c r="C33" s="22"/>
      <c r="D33" s="21"/>
      <c r="E33" s="157">
        <f>SUM(E18:E32)</f>
        <v>30551.501</v>
      </c>
      <c r="F33" s="6"/>
      <c r="G33" s="6"/>
      <c r="H33" s="6"/>
      <c r="I33" s="6"/>
      <c r="J33" s="35"/>
      <c r="K33" s="69">
        <f>SUM(K18:K32)</f>
        <v>30551.501</v>
      </c>
      <c r="L33" s="64">
        <f>SUM(L18:L32)</f>
        <v>-3000</v>
      </c>
      <c r="M33" s="64">
        <f>SUM(M18:M32)</f>
        <v>27551.501</v>
      </c>
      <c r="N33" s="75">
        <f>SUM(N18:N32)</f>
        <v>0</v>
      </c>
      <c r="O33" s="64">
        <f>SUM(O18:O32)</f>
        <v>27551.501</v>
      </c>
      <c r="P33" s="38">
        <f t="shared" ref="P33:P38" si="31">+N33/M33</f>
        <v>0</v>
      </c>
    </row>
    <row r="34" spans="2:16" ht="15.75" thickBot="1">
      <c r="B34" s="470" t="s">
        <v>19</v>
      </c>
      <c r="C34" s="119" t="s">
        <v>51</v>
      </c>
      <c r="D34" s="27" t="s">
        <v>50</v>
      </c>
      <c r="E34" s="28">
        <v>9.7617960000000004</v>
      </c>
      <c r="F34" s="26"/>
      <c r="G34" s="32">
        <f>+E34+F34</f>
        <v>9.7617960000000004</v>
      </c>
      <c r="H34" s="26"/>
      <c r="I34" s="32">
        <f>+G34-H34</f>
        <v>9.7617960000000004</v>
      </c>
      <c r="J34" s="45">
        <f>+H34/G34</f>
        <v>0</v>
      </c>
      <c r="K34" s="114">
        <f t="shared" ref="K34:L36" si="32">E34</f>
        <v>9.7617960000000004</v>
      </c>
      <c r="L34" s="115">
        <f t="shared" si="32"/>
        <v>0</v>
      </c>
      <c r="M34" s="116">
        <f>+K34+L34</f>
        <v>9.7617960000000004</v>
      </c>
      <c r="N34" s="115">
        <f>H34</f>
        <v>0</v>
      </c>
      <c r="O34" s="116">
        <f>+M34-N34</f>
        <v>9.7617960000000004</v>
      </c>
      <c r="P34" s="117">
        <f t="shared" si="31"/>
        <v>0</v>
      </c>
    </row>
    <row r="35" spans="2:16" ht="15.75" thickBot="1">
      <c r="B35" s="471"/>
      <c r="C35" s="120" t="s">
        <v>52</v>
      </c>
      <c r="D35" s="27" t="s">
        <v>50</v>
      </c>
      <c r="E35" s="29">
        <v>626.17638599999998</v>
      </c>
      <c r="F35" s="10">
        <f>-500</f>
        <v>-500</v>
      </c>
      <c r="G35" s="33">
        <f>+E35+F35</f>
        <v>126.17638599999998</v>
      </c>
      <c r="H35" s="79"/>
      <c r="I35" s="33">
        <f>+G35-H35</f>
        <v>126.17638599999998</v>
      </c>
      <c r="J35" s="46">
        <f>+H35/G35</f>
        <v>0</v>
      </c>
      <c r="K35" s="114">
        <f t="shared" si="32"/>
        <v>626.17638599999998</v>
      </c>
      <c r="L35" s="115">
        <f t="shared" si="32"/>
        <v>-500</v>
      </c>
      <c r="M35" s="116">
        <f>+K35+L35</f>
        <v>126.17638599999998</v>
      </c>
      <c r="N35" s="115">
        <f>H35</f>
        <v>0</v>
      </c>
      <c r="O35" s="116">
        <f>+M35-N35</f>
        <v>126.17638599999998</v>
      </c>
      <c r="P35" s="117">
        <f t="shared" si="31"/>
        <v>0</v>
      </c>
    </row>
    <row r="36" spans="2:16">
      <c r="B36" s="471"/>
      <c r="C36" s="120" t="s">
        <v>53</v>
      </c>
      <c r="D36" s="27" t="s">
        <v>50</v>
      </c>
      <c r="E36" s="29">
        <v>2334.0618180000001</v>
      </c>
      <c r="F36" s="10">
        <f>-800-800</f>
        <v>-1600</v>
      </c>
      <c r="G36" s="33">
        <f>+E36+F36</f>
        <v>734.06181800000013</v>
      </c>
      <c r="H36" s="83"/>
      <c r="I36" s="33">
        <f>+G36-H36</f>
        <v>734.06181800000013</v>
      </c>
      <c r="J36" s="46">
        <f>+H36/G36</f>
        <v>0</v>
      </c>
      <c r="K36" s="114">
        <f t="shared" si="32"/>
        <v>2334.0618180000001</v>
      </c>
      <c r="L36" s="115">
        <f t="shared" si="32"/>
        <v>-1600</v>
      </c>
      <c r="M36" s="116">
        <f>+K36+L36</f>
        <v>734.06181800000013</v>
      </c>
      <c r="N36" s="115">
        <f>H36</f>
        <v>0</v>
      </c>
      <c r="O36" s="116">
        <f>+M36-N36</f>
        <v>734.06181800000013</v>
      </c>
      <c r="P36" s="117">
        <f t="shared" si="31"/>
        <v>0</v>
      </c>
    </row>
    <row r="37" spans="2:16" s="9" customFormat="1" ht="15.75" thickBot="1">
      <c r="B37" s="23"/>
      <c r="C37" s="24"/>
      <c r="D37" s="21"/>
      <c r="E37" s="145">
        <f>SUM(E34:E36)</f>
        <v>2970</v>
      </c>
      <c r="F37" s="25"/>
      <c r="G37" s="25"/>
      <c r="H37" s="25"/>
      <c r="I37" s="25"/>
      <c r="J37" s="38"/>
      <c r="K37" s="68">
        <f>SUM(K34:K36)</f>
        <v>2970</v>
      </c>
      <c r="L37" s="61">
        <f>SUM(L34:L36)</f>
        <v>-2100</v>
      </c>
      <c r="M37" s="61">
        <f>SUM(M34:M36)</f>
        <v>870.00000000000011</v>
      </c>
      <c r="N37" s="61">
        <f>SUM(N34:N36)</f>
        <v>0</v>
      </c>
      <c r="O37" s="61">
        <f>SUM(O34:O36)</f>
        <v>870.00000000000011</v>
      </c>
      <c r="P37" s="80">
        <f t="shared" si="31"/>
        <v>0</v>
      </c>
    </row>
    <row r="38" spans="2:16">
      <c r="B38" s="463" t="s">
        <v>28</v>
      </c>
      <c r="C38" s="119" t="s">
        <v>54</v>
      </c>
      <c r="D38" s="30" t="s">
        <v>55</v>
      </c>
      <c r="E38" s="176">
        <v>204.947</v>
      </c>
      <c r="F38" s="26"/>
      <c r="G38" s="32">
        <f>+E38+F38</f>
        <v>204.947</v>
      </c>
      <c r="H38" s="26"/>
      <c r="I38" s="32">
        <f>+G38-H38</f>
        <v>204.947</v>
      </c>
      <c r="J38" s="36">
        <f>+H38/G38</f>
        <v>0</v>
      </c>
      <c r="K38" s="42">
        <f>+E38</f>
        <v>204.947</v>
      </c>
      <c r="L38" s="15">
        <f>+F38</f>
        <v>0</v>
      </c>
      <c r="M38" s="43">
        <f>+K38+L38</f>
        <v>204.947</v>
      </c>
      <c r="N38" s="85">
        <f t="shared" ref="N38:N45" si="33">+H38</f>
        <v>0</v>
      </c>
      <c r="O38" s="43">
        <f>+M38-N38</f>
        <v>204.947</v>
      </c>
      <c r="P38" s="36">
        <f t="shared" si="31"/>
        <v>0</v>
      </c>
    </row>
    <row r="39" spans="2:16">
      <c r="B39" s="464"/>
      <c r="C39" s="120" t="s">
        <v>39</v>
      </c>
      <c r="D39" s="31" t="s">
        <v>55</v>
      </c>
      <c r="E39" s="176">
        <v>892.30700000000002</v>
      </c>
      <c r="F39" s="10">
        <f>-890</f>
        <v>-890</v>
      </c>
      <c r="G39" s="33">
        <f t="shared" ref="G39:G46" si="34">+E39+F39</f>
        <v>2.3070000000000164</v>
      </c>
      <c r="H39" s="10"/>
      <c r="I39" s="33">
        <f t="shared" ref="I39:I46" si="35">+G39-H39</f>
        <v>2.3070000000000164</v>
      </c>
      <c r="J39" s="37">
        <f t="shared" ref="J39:J46" si="36">+H39/G39</f>
        <v>0</v>
      </c>
      <c r="K39" s="44">
        <f t="shared" ref="K39:K46" si="37">+E39</f>
        <v>892.30700000000002</v>
      </c>
      <c r="L39" s="14">
        <f>+F39</f>
        <v>-890</v>
      </c>
      <c r="M39" s="41">
        <f t="shared" ref="M39:M46" si="38">+K39+L39</f>
        <v>2.3070000000000164</v>
      </c>
      <c r="N39" s="84">
        <f t="shared" si="33"/>
        <v>0</v>
      </c>
      <c r="O39" s="41">
        <f t="shared" ref="O39:O45" si="39">+M39-N39</f>
        <v>2.3070000000000164</v>
      </c>
      <c r="P39" s="37">
        <f t="shared" ref="P39:P45" si="40">+N39/M39</f>
        <v>0</v>
      </c>
    </row>
    <row r="40" spans="2:16">
      <c r="B40" s="464"/>
      <c r="C40" s="120" t="s">
        <v>45</v>
      </c>
      <c r="D40" s="31" t="s">
        <v>55</v>
      </c>
      <c r="E40" s="176">
        <v>0.15</v>
      </c>
      <c r="F40" s="10"/>
      <c r="G40" s="33">
        <f t="shared" si="34"/>
        <v>0.15</v>
      </c>
      <c r="H40" s="10"/>
      <c r="I40" s="33">
        <f t="shared" si="35"/>
        <v>0.15</v>
      </c>
      <c r="J40" s="37">
        <f t="shared" si="36"/>
        <v>0</v>
      </c>
      <c r="K40" s="44">
        <f t="shared" si="37"/>
        <v>0.15</v>
      </c>
      <c r="L40" s="14">
        <f t="shared" ref="L40:L45" si="41">+F40</f>
        <v>0</v>
      </c>
      <c r="M40" s="41">
        <f t="shared" si="38"/>
        <v>0.15</v>
      </c>
      <c r="N40" s="84">
        <f t="shared" si="33"/>
        <v>0</v>
      </c>
      <c r="O40" s="41">
        <f t="shared" si="39"/>
        <v>0.15</v>
      </c>
      <c r="P40" s="37">
        <f t="shared" si="40"/>
        <v>0</v>
      </c>
    </row>
    <row r="41" spans="2:16">
      <c r="B41" s="464"/>
      <c r="C41" s="120" t="s">
        <v>56</v>
      </c>
      <c r="D41" s="31" t="s">
        <v>55</v>
      </c>
      <c r="E41" s="176">
        <v>5.7460000000000004</v>
      </c>
      <c r="F41" s="10"/>
      <c r="G41" s="33">
        <f t="shared" si="34"/>
        <v>5.7460000000000004</v>
      </c>
      <c r="H41" s="10"/>
      <c r="I41" s="33">
        <f t="shared" si="35"/>
        <v>5.7460000000000004</v>
      </c>
      <c r="J41" s="37">
        <f t="shared" si="36"/>
        <v>0</v>
      </c>
      <c r="K41" s="44">
        <f t="shared" si="37"/>
        <v>5.7460000000000004</v>
      </c>
      <c r="L41" s="14">
        <f t="shared" si="41"/>
        <v>0</v>
      </c>
      <c r="M41" s="41">
        <f t="shared" si="38"/>
        <v>5.7460000000000004</v>
      </c>
      <c r="N41" s="84">
        <f t="shared" si="33"/>
        <v>0</v>
      </c>
      <c r="O41" s="41">
        <f t="shared" si="39"/>
        <v>5.7460000000000004</v>
      </c>
      <c r="P41" s="37">
        <f t="shared" si="40"/>
        <v>0</v>
      </c>
    </row>
    <row r="42" spans="2:16">
      <c r="B42" s="464"/>
      <c r="C42" s="120" t="s">
        <v>144</v>
      </c>
      <c r="D42" s="31" t="s">
        <v>55</v>
      </c>
      <c r="E42" s="176">
        <v>6.4950000000000001</v>
      </c>
      <c r="F42" s="10"/>
      <c r="G42" s="33">
        <f t="shared" si="34"/>
        <v>6.4950000000000001</v>
      </c>
      <c r="H42" s="10"/>
      <c r="I42" s="33">
        <f t="shared" si="35"/>
        <v>6.4950000000000001</v>
      </c>
      <c r="J42" s="37">
        <f t="shared" si="36"/>
        <v>0</v>
      </c>
      <c r="K42" s="44">
        <f t="shared" si="37"/>
        <v>6.4950000000000001</v>
      </c>
      <c r="L42" s="14">
        <f t="shared" si="41"/>
        <v>0</v>
      </c>
      <c r="M42" s="41">
        <f t="shared" si="38"/>
        <v>6.4950000000000001</v>
      </c>
      <c r="N42" s="84">
        <f t="shared" si="33"/>
        <v>0</v>
      </c>
      <c r="O42" s="41">
        <f t="shared" si="39"/>
        <v>6.4950000000000001</v>
      </c>
      <c r="P42" s="37">
        <f t="shared" si="40"/>
        <v>0</v>
      </c>
    </row>
    <row r="43" spans="2:16">
      <c r="B43" s="464"/>
      <c r="C43" s="177" t="s">
        <v>156</v>
      </c>
      <c r="D43" s="31" t="s">
        <v>55</v>
      </c>
      <c r="E43" s="176">
        <v>2.9769999999999999</v>
      </c>
      <c r="F43" s="10"/>
      <c r="G43" s="33">
        <f t="shared" si="34"/>
        <v>2.9769999999999999</v>
      </c>
      <c r="H43" s="10"/>
      <c r="I43" s="33">
        <f t="shared" si="35"/>
        <v>2.9769999999999999</v>
      </c>
      <c r="J43" s="37">
        <f t="shared" si="36"/>
        <v>0</v>
      </c>
      <c r="K43" s="44">
        <f t="shared" si="37"/>
        <v>2.9769999999999999</v>
      </c>
      <c r="L43" s="14">
        <f t="shared" si="41"/>
        <v>0</v>
      </c>
      <c r="M43" s="41">
        <f t="shared" si="38"/>
        <v>2.9769999999999999</v>
      </c>
      <c r="N43" s="84">
        <f t="shared" si="33"/>
        <v>0</v>
      </c>
      <c r="O43" s="41">
        <f t="shared" si="39"/>
        <v>2.9769999999999999</v>
      </c>
      <c r="P43" s="37">
        <f t="shared" si="40"/>
        <v>0</v>
      </c>
    </row>
    <row r="44" spans="2:16">
      <c r="B44" s="464"/>
      <c r="C44" s="177" t="s">
        <v>57</v>
      </c>
      <c r="D44" s="31" t="s">
        <v>55</v>
      </c>
      <c r="E44" s="176">
        <v>383.03</v>
      </c>
      <c r="F44" s="10">
        <f>-380</f>
        <v>-380</v>
      </c>
      <c r="G44" s="33">
        <f t="shared" si="34"/>
        <v>3.0299999999999727</v>
      </c>
      <c r="H44" s="10"/>
      <c r="I44" s="33">
        <f t="shared" si="35"/>
        <v>3.0299999999999727</v>
      </c>
      <c r="J44" s="37">
        <f t="shared" si="36"/>
        <v>0</v>
      </c>
      <c r="K44" s="44">
        <f t="shared" si="37"/>
        <v>383.03</v>
      </c>
      <c r="L44" s="14">
        <f t="shared" si="41"/>
        <v>-380</v>
      </c>
      <c r="M44" s="41">
        <f t="shared" si="38"/>
        <v>3.0299999999999727</v>
      </c>
      <c r="N44" s="84">
        <f t="shared" si="33"/>
        <v>0</v>
      </c>
      <c r="O44" s="41">
        <f t="shared" si="39"/>
        <v>3.0299999999999727</v>
      </c>
      <c r="P44" s="37">
        <f t="shared" si="40"/>
        <v>0</v>
      </c>
    </row>
    <row r="45" spans="2:16">
      <c r="B45" s="464"/>
      <c r="C45" s="177" t="s">
        <v>58</v>
      </c>
      <c r="D45" s="31" t="s">
        <v>55</v>
      </c>
      <c r="E45" s="176">
        <v>2.593</v>
      </c>
      <c r="F45" s="10"/>
      <c r="G45" s="33">
        <f t="shared" si="34"/>
        <v>2.593</v>
      </c>
      <c r="H45" s="10"/>
      <c r="I45" s="33">
        <f t="shared" si="35"/>
        <v>2.593</v>
      </c>
      <c r="J45" s="37">
        <f t="shared" si="36"/>
        <v>0</v>
      </c>
      <c r="K45" s="44">
        <f t="shared" si="37"/>
        <v>2.593</v>
      </c>
      <c r="L45" s="14">
        <f t="shared" si="41"/>
        <v>0</v>
      </c>
      <c r="M45" s="41">
        <f t="shared" si="38"/>
        <v>2.593</v>
      </c>
      <c r="N45" s="84">
        <f t="shared" si="33"/>
        <v>0</v>
      </c>
      <c r="O45" s="41">
        <f t="shared" si="39"/>
        <v>2.593</v>
      </c>
      <c r="P45" s="37">
        <f t="shared" si="40"/>
        <v>0</v>
      </c>
    </row>
    <row r="46" spans="2:16" s="57" customFormat="1">
      <c r="B46" s="465"/>
      <c r="C46" s="290" t="s">
        <v>258</v>
      </c>
      <c r="D46" s="291" t="s">
        <v>55</v>
      </c>
      <c r="E46" s="292">
        <v>0</v>
      </c>
      <c r="F46" s="156">
        <v>0.13500000000000001</v>
      </c>
      <c r="G46" s="293">
        <f t="shared" si="34"/>
        <v>0.13500000000000001</v>
      </c>
      <c r="H46" s="294"/>
      <c r="I46" s="293">
        <f t="shared" si="35"/>
        <v>0.13500000000000001</v>
      </c>
      <c r="J46" s="37">
        <f t="shared" si="36"/>
        <v>0</v>
      </c>
      <c r="K46" s="44">
        <f t="shared" si="37"/>
        <v>0</v>
      </c>
      <c r="L46" s="58">
        <f>+F46</f>
        <v>0.13500000000000001</v>
      </c>
      <c r="M46" s="41">
        <f t="shared" si="38"/>
        <v>0.13500000000000001</v>
      </c>
      <c r="N46" s="112">
        <f t="shared" ref="N46" si="42">+H46</f>
        <v>0</v>
      </c>
      <c r="O46" s="41">
        <f t="shared" ref="O46" si="43">+M46-N46</f>
        <v>0.13500000000000001</v>
      </c>
      <c r="P46" s="37">
        <f t="shared" ref="P46" si="44">+N46/M46</f>
        <v>0</v>
      </c>
    </row>
    <row r="47" spans="2:16" s="57" customFormat="1">
      <c r="B47" s="465"/>
      <c r="C47" s="177" t="s">
        <v>159</v>
      </c>
      <c r="D47" s="31" t="s">
        <v>55</v>
      </c>
      <c r="E47" s="176">
        <v>1.7549999999999999</v>
      </c>
      <c r="F47" s="156">
        <f>-0.135</f>
        <v>-0.13500000000000001</v>
      </c>
      <c r="G47" s="33">
        <f t="shared" ref="G47" si="45">+E47+F47</f>
        <v>1.6199999999999999</v>
      </c>
      <c r="H47" s="10"/>
      <c r="I47" s="33">
        <f t="shared" ref="I47" si="46">+G47-H47</f>
        <v>1.6199999999999999</v>
      </c>
      <c r="J47" s="37">
        <f t="shared" ref="J47" si="47">+H47/G47</f>
        <v>0</v>
      </c>
      <c r="K47" s="44">
        <f t="shared" ref="K47" si="48">+E47</f>
        <v>1.7549999999999999</v>
      </c>
      <c r="L47" s="58">
        <f t="shared" ref="L47" si="49">+F47</f>
        <v>-0.13500000000000001</v>
      </c>
      <c r="M47" s="41">
        <f t="shared" ref="M47" si="50">+K47+L47</f>
        <v>1.6199999999999999</v>
      </c>
      <c r="N47" s="112">
        <f t="shared" ref="N47" si="51">+H47</f>
        <v>0</v>
      </c>
      <c r="O47" s="41">
        <f t="shared" ref="O47" si="52">+M47-N47</f>
        <v>1.6199999999999999</v>
      </c>
      <c r="P47" s="37">
        <f t="shared" ref="P47" si="53">+N47/M47</f>
        <v>0</v>
      </c>
    </row>
    <row r="48" spans="2:16">
      <c r="E48" s="146">
        <f>SUM(E38:E47)</f>
        <v>1500.0000000000002</v>
      </c>
      <c r="F48">
        <f>SUM(F38:F47)</f>
        <v>-1270</v>
      </c>
      <c r="K48" s="62">
        <f>SUM(K38:K47)</f>
        <v>1500.0000000000002</v>
      </c>
      <c r="L48" s="62">
        <f>SUM(L38:L47)</f>
        <v>-1270</v>
      </c>
      <c r="M48" s="62">
        <f>SUM(M38:M47)</f>
        <v>230</v>
      </c>
      <c r="N48" s="87">
        <f>SUM(N38:N47)</f>
        <v>0</v>
      </c>
      <c r="O48" s="62">
        <f>SUM(O38:O47)</f>
        <v>230</v>
      </c>
      <c r="P48" s="63">
        <f>+N48/M48</f>
        <v>0</v>
      </c>
    </row>
    <row r="50" spans="2:18">
      <c r="B50" s="279"/>
      <c r="C50" s="279"/>
      <c r="D50" s="279"/>
      <c r="E50" s="279"/>
      <c r="F50" s="279"/>
      <c r="G50" s="279"/>
      <c r="H50" s="287"/>
      <c r="I50" s="279"/>
      <c r="J50" s="287"/>
      <c r="K50" s="289"/>
      <c r="L50" s="279"/>
      <c r="M50" s="279"/>
      <c r="N50" s="286"/>
      <c r="O50" s="279"/>
      <c r="P50" s="279"/>
    </row>
    <row r="51" spans="2:18">
      <c r="B51" s="279"/>
      <c r="C51" s="279"/>
      <c r="D51" s="287"/>
      <c r="E51" s="287"/>
      <c r="F51" s="287"/>
      <c r="G51" s="287"/>
      <c r="H51" s="287"/>
      <c r="I51" s="287"/>
      <c r="J51" s="287"/>
      <c r="K51" s="289"/>
      <c r="L51" s="279"/>
      <c r="M51" s="279"/>
      <c r="N51" s="286"/>
      <c r="O51" s="279"/>
      <c r="P51" s="279"/>
      <c r="Q51" s="265"/>
      <c r="R51" s="265"/>
    </row>
    <row r="52" spans="2:18">
      <c r="B52" s="144"/>
      <c r="C52" s="279"/>
      <c r="D52" s="287"/>
      <c r="E52" s="287"/>
      <c r="F52" s="287"/>
      <c r="G52" s="287"/>
      <c r="H52" s="287"/>
      <c r="I52" s="287"/>
      <c r="J52" s="287"/>
      <c r="K52" s="289"/>
      <c r="L52" s="279"/>
      <c r="M52" s="279"/>
      <c r="N52" s="286"/>
      <c r="O52" s="279"/>
      <c r="P52" s="279"/>
      <c r="Q52" s="265"/>
      <c r="R52" s="265"/>
    </row>
    <row r="53" spans="2:18">
      <c r="B53" s="279"/>
      <c r="C53" s="279"/>
      <c r="D53" s="279"/>
      <c r="E53" s="279"/>
      <c r="F53" s="279"/>
      <c r="G53" s="279"/>
      <c r="H53" s="287"/>
      <c r="I53" s="279"/>
      <c r="J53" s="287"/>
      <c r="K53" s="289"/>
      <c r="L53" s="279"/>
      <c r="M53" s="279"/>
      <c r="N53" s="286"/>
      <c r="O53" s="279"/>
      <c r="P53" s="279"/>
      <c r="Q53" s="265"/>
      <c r="R53" s="265"/>
    </row>
    <row r="54" spans="2:18" ht="16.5" customHeight="1">
      <c r="B54" s="279"/>
      <c r="C54" s="279"/>
      <c r="D54" s="279"/>
      <c r="E54" s="287"/>
      <c r="F54" s="287"/>
      <c r="G54" s="287"/>
      <c r="H54" s="287"/>
      <c r="I54" s="287"/>
      <c r="J54" s="287"/>
      <c r="K54" s="289"/>
      <c r="L54" s="279"/>
      <c r="M54" s="286"/>
      <c r="N54" s="279"/>
      <c r="O54" s="279"/>
      <c r="P54" s="279"/>
      <c r="Q54" s="265"/>
      <c r="R54" s="265"/>
    </row>
    <row r="55" spans="2:18" ht="15" customHeight="1">
      <c r="B55" s="279"/>
      <c r="C55" s="279"/>
      <c r="D55" s="279"/>
      <c r="E55" s="287"/>
      <c r="F55" s="287"/>
      <c r="G55" s="287"/>
      <c r="H55" s="287"/>
      <c r="I55" s="287"/>
      <c r="J55" s="287"/>
      <c r="K55" s="289"/>
      <c r="L55" s="279"/>
      <c r="M55" s="286"/>
      <c r="N55" s="279"/>
      <c r="O55" s="279"/>
      <c r="P55" s="279"/>
      <c r="Q55" s="265"/>
      <c r="R55" s="265"/>
    </row>
    <row r="56" spans="2:18" ht="15.75" customHeight="1">
      <c r="B56" s="279"/>
      <c r="C56" s="279"/>
      <c r="D56" s="279"/>
      <c r="E56" s="279"/>
      <c r="F56" s="279"/>
      <c r="G56" s="279"/>
      <c r="H56" s="287"/>
      <c r="I56" s="279"/>
      <c r="J56" s="287"/>
      <c r="K56" s="289"/>
      <c r="L56" s="279"/>
      <c r="M56" s="286"/>
      <c r="N56" s="279"/>
      <c r="O56" s="279"/>
      <c r="P56" s="279"/>
      <c r="Q56" s="265"/>
      <c r="R56" s="265"/>
    </row>
    <row r="57" spans="2:18">
      <c r="B57" s="279"/>
      <c r="C57" s="279"/>
      <c r="D57" s="279"/>
      <c r="E57" s="287"/>
      <c r="F57" s="287"/>
      <c r="G57" s="287"/>
      <c r="H57" s="287"/>
      <c r="I57" s="287"/>
      <c r="J57" s="287"/>
      <c r="K57" s="289"/>
      <c r="L57" s="279"/>
      <c r="M57" s="279"/>
      <c r="N57" s="279"/>
      <c r="O57" s="279"/>
      <c r="P57" s="279"/>
      <c r="Q57" s="265"/>
      <c r="R57" s="265"/>
    </row>
    <row r="58" spans="2:18">
      <c r="B58" s="279"/>
      <c r="C58" s="288"/>
      <c r="D58" s="279"/>
      <c r="E58" s="287"/>
      <c r="F58" s="287"/>
      <c r="G58" s="287"/>
      <c r="H58" s="287"/>
      <c r="I58" s="287"/>
      <c r="J58" s="287"/>
      <c r="K58" s="289"/>
      <c r="L58" s="279"/>
      <c r="M58" s="279"/>
      <c r="N58" s="279"/>
      <c r="O58" s="279"/>
      <c r="P58" s="279"/>
      <c r="Q58" s="265"/>
      <c r="R58" s="265"/>
    </row>
    <row r="59" spans="2:18">
      <c r="B59" s="279"/>
      <c r="C59" s="288"/>
      <c r="D59" s="279"/>
      <c r="E59" s="279"/>
      <c r="F59" s="279"/>
      <c r="G59" s="279"/>
      <c r="H59" s="287"/>
      <c r="I59" s="279"/>
      <c r="J59" s="287"/>
      <c r="K59" s="289"/>
      <c r="L59" s="279"/>
      <c r="M59" s="279"/>
      <c r="N59" s="279"/>
      <c r="O59" s="279"/>
      <c r="P59" s="279"/>
      <c r="Q59" s="265"/>
      <c r="R59" s="265"/>
    </row>
    <row r="60" spans="2:18">
      <c r="B60" s="279"/>
      <c r="C60" s="288"/>
      <c r="D60" s="279"/>
      <c r="E60" s="287"/>
      <c r="F60" s="287"/>
      <c r="G60" s="287"/>
      <c r="H60" s="287"/>
      <c r="I60" s="287"/>
      <c r="J60" s="287"/>
      <c r="K60" s="289"/>
      <c r="L60" s="279"/>
      <c r="M60" s="279"/>
      <c r="N60" s="279"/>
      <c r="O60" s="279"/>
      <c r="P60" s="279"/>
      <c r="Q60" s="265"/>
      <c r="R60" s="265"/>
    </row>
    <row r="61" spans="2:18">
      <c r="B61" s="279"/>
      <c r="C61" s="288"/>
      <c r="D61" s="279"/>
      <c r="E61" s="287"/>
      <c r="F61" s="287"/>
      <c r="G61" s="287"/>
      <c r="H61" s="287"/>
      <c r="I61" s="287"/>
      <c r="J61" s="287"/>
      <c r="K61" s="289"/>
      <c r="L61" s="279"/>
      <c r="M61" s="279"/>
      <c r="N61" s="279"/>
      <c r="O61" s="279"/>
      <c r="P61" s="279"/>
      <c r="Q61" s="265"/>
      <c r="R61" s="265"/>
    </row>
    <row r="62" spans="2:18">
      <c r="B62" s="279"/>
      <c r="C62" s="288"/>
      <c r="D62" s="279"/>
      <c r="E62" s="279"/>
      <c r="F62" s="279"/>
      <c r="G62" s="279"/>
      <c r="H62" s="287"/>
      <c r="I62" s="279"/>
      <c r="J62" s="287"/>
      <c r="K62" s="289"/>
      <c r="L62" s="279"/>
      <c r="M62" s="279"/>
      <c r="N62" s="279"/>
      <c r="O62" s="279"/>
      <c r="P62" s="279"/>
      <c r="Q62" s="265"/>
      <c r="R62" s="265"/>
    </row>
    <row r="63" spans="2:18">
      <c r="B63" s="279"/>
      <c r="C63" s="288"/>
      <c r="D63" s="279"/>
      <c r="E63" s="287"/>
      <c r="F63" s="287"/>
      <c r="G63" s="287"/>
      <c r="H63" s="287"/>
      <c r="I63" s="287"/>
      <c r="J63" s="287"/>
      <c r="K63" s="289"/>
      <c r="L63" s="279"/>
      <c r="M63" s="279"/>
      <c r="N63" s="279"/>
      <c r="O63" s="279"/>
      <c r="P63" s="279"/>
      <c r="Q63" s="265"/>
      <c r="R63" s="265"/>
    </row>
    <row r="64" spans="2:18">
      <c r="B64" s="279"/>
      <c r="C64" s="288"/>
      <c r="D64" s="279"/>
      <c r="E64" s="287"/>
      <c r="F64" s="287"/>
      <c r="G64" s="287"/>
      <c r="H64" s="287"/>
      <c r="I64" s="287"/>
      <c r="J64" s="287"/>
      <c r="K64" s="289"/>
      <c r="L64" s="279"/>
      <c r="M64" s="279"/>
      <c r="N64" s="279"/>
      <c r="O64" s="279"/>
      <c r="P64" s="279"/>
      <c r="Q64" s="265"/>
      <c r="R64" s="265"/>
    </row>
    <row r="65" spans="2:18">
      <c r="B65" s="279"/>
      <c r="C65" s="288"/>
      <c r="D65" s="279"/>
      <c r="E65" s="279"/>
      <c r="F65" s="279"/>
      <c r="G65" s="279"/>
      <c r="H65" s="287"/>
      <c r="I65" s="279"/>
      <c r="J65" s="287"/>
      <c r="K65" s="289"/>
      <c r="L65" s="279"/>
      <c r="M65" s="279"/>
      <c r="N65" s="279"/>
      <c r="O65" s="279"/>
      <c r="P65" s="279"/>
      <c r="Q65" s="265"/>
      <c r="R65" s="265"/>
    </row>
    <row r="66" spans="2:18">
      <c r="B66" s="279"/>
      <c r="C66" s="288"/>
      <c r="D66" s="279"/>
      <c r="E66" s="279"/>
      <c r="F66" s="279"/>
      <c r="G66" s="279"/>
      <c r="H66" s="287"/>
      <c r="I66" s="279"/>
      <c r="J66" s="287"/>
      <c r="K66" s="289"/>
      <c r="L66" s="279"/>
      <c r="M66" s="279"/>
      <c r="N66" s="279"/>
      <c r="O66" s="279"/>
      <c r="P66" s="279"/>
      <c r="Q66" s="265"/>
      <c r="R66" s="265"/>
    </row>
    <row r="67" spans="2:18">
      <c r="B67" s="279"/>
      <c r="C67" s="288"/>
      <c r="D67" s="279"/>
      <c r="E67" s="279"/>
      <c r="F67" s="279"/>
      <c r="G67" s="279"/>
      <c r="H67" s="287"/>
      <c r="I67" s="279"/>
      <c r="J67" s="287"/>
      <c r="K67" s="289"/>
      <c r="L67" s="279"/>
      <c r="M67" s="279"/>
      <c r="N67" s="279"/>
      <c r="O67" s="279"/>
      <c r="P67" s="279"/>
      <c r="Q67" s="265"/>
      <c r="R67" s="265"/>
    </row>
    <row r="68" spans="2:18">
      <c r="B68" s="279"/>
      <c r="C68" s="288"/>
      <c r="D68" s="279"/>
      <c r="E68" s="279"/>
      <c r="F68" s="279"/>
      <c r="G68" s="279"/>
      <c r="H68" s="287"/>
      <c r="I68" s="279"/>
      <c r="J68" s="287"/>
      <c r="K68" s="289"/>
      <c r="L68" s="279"/>
      <c r="M68" s="279"/>
      <c r="N68" s="279"/>
      <c r="O68" s="279"/>
      <c r="P68" s="279"/>
      <c r="Q68" s="265"/>
      <c r="R68" s="265"/>
    </row>
    <row r="69" spans="2:18">
      <c r="B69" s="279"/>
      <c r="C69" s="288"/>
      <c r="D69" s="279"/>
      <c r="E69" s="279"/>
      <c r="F69" s="279"/>
      <c r="G69" s="279"/>
      <c r="H69" s="287"/>
      <c r="I69" s="279"/>
      <c r="J69" s="287"/>
      <c r="K69" s="289"/>
      <c r="L69" s="279"/>
      <c r="M69" s="279"/>
      <c r="N69" s="279"/>
      <c r="O69" s="279"/>
      <c r="P69" s="279"/>
      <c r="Q69" s="265"/>
      <c r="R69" s="265"/>
    </row>
    <row r="70" spans="2:18">
      <c r="B70" s="279"/>
      <c r="C70" s="288"/>
      <c r="D70" s="279"/>
      <c r="E70" s="279"/>
      <c r="F70" s="279"/>
      <c r="G70" s="279"/>
      <c r="H70" s="287"/>
      <c r="I70" s="279"/>
      <c r="J70" s="287"/>
      <c r="K70" s="289"/>
      <c r="L70" s="279"/>
      <c r="M70" s="279"/>
      <c r="N70" s="279"/>
      <c r="O70" s="279"/>
      <c r="P70" s="279"/>
      <c r="Q70" s="265"/>
      <c r="R70" s="265"/>
    </row>
    <row r="71" spans="2:18">
      <c r="B71" s="279"/>
      <c r="C71" s="288"/>
      <c r="D71" s="279"/>
      <c r="E71" s="279"/>
      <c r="F71" s="279"/>
      <c r="G71" s="279"/>
      <c r="H71" s="287"/>
      <c r="I71" s="279"/>
      <c r="J71" s="287"/>
      <c r="K71" s="289"/>
      <c r="L71" s="279"/>
      <c r="M71" s="279"/>
      <c r="N71" s="279"/>
      <c r="O71" s="279"/>
      <c r="P71" s="279"/>
      <c r="Q71" s="265"/>
      <c r="R71" s="265"/>
    </row>
    <row r="72" spans="2:18">
      <c r="B72" s="279"/>
      <c r="C72" s="288"/>
      <c r="D72" s="279"/>
      <c r="E72" s="279"/>
      <c r="F72" s="279"/>
      <c r="G72" s="279"/>
      <c r="H72" s="287"/>
      <c r="I72" s="279"/>
      <c r="J72" s="287"/>
      <c r="K72" s="289"/>
      <c r="L72" s="279"/>
      <c r="M72" s="279"/>
      <c r="N72" s="279"/>
      <c r="O72" s="279"/>
      <c r="P72" s="279"/>
      <c r="Q72" s="265"/>
      <c r="R72" s="265"/>
    </row>
    <row r="73" spans="2:18">
      <c r="B73" s="279"/>
      <c r="C73" s="288"/>
      <c r="D73" s="279"/>
      <c r="E73" s="279"/>
      <c r="F73" s="279"/>
      <c r="G73" s="279"/>
      <c r="H73" s="287"/>
      <c r="I73" s="279"/>
      <c r="J73" s="287"/>
      <c r="K73" s="289"/>
      <c r="L73" s="279"/>
      <c r="M73" s="279"/>
      <c r="N73" s="279"/>
      <c r="O73" s="279"/>
      <c r="P73" s="279"/>
      <c r="Q73" s="265"/>
      <c r="R73" s="265"/>
    </row>
    <row r="74" spans="2:18">
      <c r="B74" s="279"/>
      <c r="C74" s="288"/>
      <c r="D74" s="279"/>
      <c r="E74" s="279"/>
      <c r="F74" s="279"/>
      <c r="G74" s="279"/>
      <c r="H74" s="287"/>
      <c r="I74" s="279"/>
      <c r="J74" s="287"/>
      <c r="K74" s="289"/>
      <c r="L74" s="279"/>
      <c r="M74" s="279"/>
      <c r="N74" s="279"/>
      <c r="O74" s="279"/>
      <c r="P74" s="279"/>
      <c r="Q74" s="265"/>
      <c r="R74" s="265"/>
    </row>
    <row r="75" spans="2:18">
      <c r="B75" s="279"/>
      <c r="C75" s="288"/>
      <c r="D75" s="279"/>
      <c r="E75" s="279"/>
      <c r="F75" s="279"/>
      <c r="G75" s="279"/>
      <c r="H75" s="287"/>
      <c r="I75" s="279"/>
      <c r="J75" s="287"/>
      <c r="K75" s="289"/>
      <c r="L75" s="279"/>
      <c r="M75" s="279"/>
      <c r="N75" s="279"/>
      <c r="O75" s="279"/>
      <c r="P75" s="279"/>
      <c r="Q75" s="265"/>
      <c r="R75" s="265"/>
    </row>
    <row r="76" spans="2:18">
      <c r="B76" s="279"/>
      <c r="C76" s="288"/>
      <c r="D76" s="279"/>
      <c r="E76" s="279"/>
      <c r="F76" s="279"/>
      <c r="G76" s="279"/>
      <c r="H76" s="287"/>
      <c r="I76" s="279"/>
      <c r="J76" s="287"/>
      <c r="K76" s="289"/>
      <c r="L76" s="279"/>
      <c r="M76" s="279"/>
      <c r="N76" s="279"/>
      <c r="O76" s="279"/>
      <c r="P76" s="279"/>
      <c r="Q76" s="265"/>
      <c r="R76" s="265"/>
    </row>
    <row r="77" spans="2:18">
      <c r="B77" s="279"/>
      <c r="C77" s="288"/>
      <c r="D77" s="279"/>
      <c r="E77" s="279"/>
      <c r="F77" s="279"/>
      <c r="G77" s="279"/>
      <c r="H77" s="287"/>
      <c r="I77" s="279"/>
      <c r="J77" s="287"/>
      <c r="K77" s="289"/>
      <c r="L77" s="279"/>
      <c r="M77" s="279"/>
      <c r="N77" s="279"/>
      <c r="O77" s="279"/>
      <c r="P77" s="279"/>
      <c r="Q77" s="265"/>
      <c r="R77" s="265"/>
    </row>
    <row r="78" spans="2:18">
      <c r="B78" s="279"/>
      <c r="C78" s="288"/>
      <c r="D78" s="279"/>
      <c r="E78" s="279"/>
      <c r="F78" s="279"/>
      <c r="G78" s="279"/>
      <c r="H78" s="287"/>
      <c r="I78" s="279"/>
      <c r="J78" s="287"/>
      <c r="K78" s="289"/>
      <c r="L78" s="279"/>
      <c r="M78" s="279"/>
      <c r="N78" s="279"/>
      <c r="O78" s="279"/>
      <c r="P78" s="279"/>
      <c r="Q78" s="265"/>
      <c r="R78" s="265"/>
    </row>
    <row r="79" spans="2:18">
      <c r="B79" s="279"/>
      <c r="C79" s="288"/>
      <c r="D79" s="279"/>
      <c r="E79" s="279"/>
      <c r="F79" s="279"/>
      <c r="G79" s="279"/>
      <c r="H79" s="287"/>
      <c r="I79" s="279"/>
      <c r="J79" s="287"/>
      <c r="K79" s="289"/>
      <c r="L79" s="279"/>
      <c r="M79" s="279"/>
      <c r="N79" s="279"/>
      <c r="O79" s="279"/>
      <c r="P79" s="279"/>
      <c r="Q79" s="265"/>
      <c r="R79" s="265"/>
    </row>
    <row r="80" spans="2:18">
      <c r="B80" s="279"/>
      <c r="C80" s="288"/>
      <c r="D80" s="279"/>
      <c r="E80" s="279"/>
      <c r="F80" s="279"/>
      <c r="G80" s="279"/>
      <c r="H80" s="287"/>
      <c r="I80" s="279"/>
      <c r="J80" s="287"/>
      <c r="K80" s="289"/>
      <c r="L80" s="279"/>
      <c r="M80" s="279"/>
      <c r="N80" s="279"/>
      <c r="O80" s="279"/>
      <c r="P80" s="279"/>
      <c r="Q80" s="265"/>
      <c r="R80" s="265"/>
    </row>
    <row r="81" spans="2:18">
      <c r="B81" s="279"/>
      <c r="C81" s="288"/>
      <c r="D81" s="279"/>
      <c r="E81" s="279"/>
      <c r="F81" s="279"/>
      <c r="G81" s="279"/>
      <c r="H81" s="287"/>
      <c r="I81" s="279"/>
      <c r="J81" s="287"/>
      <c r="K81" s="289"/>
      <c r="L81" s="279"/>
      <c r="M81" s="279"/>
      <c r="N81" s="279"/>
      <c r="O81" s="279"/>
      <c r="P81" s="279"/>
      <c r="Q81" s="265"/>
      <c r="R81" s="265"/>
    </row>
    <row r="82" spans="2:18">
      <c r="B82" s="279"/>
      <c r="C82" s="288"/>
      <c r="D82" s="279"/>
      <c r="E82" s="279"/>
      <c r="F82" s="279"/>
      <c r="G82" s="279"/>
      <c r="H82" s="287"/>
      <c r="I82" s="279"/>
      <c r="J82" s="287"/>
      <c r="K82" s="289"/>
      <c r="L82" s="279"/>
      <c r="M82" s="279"/>
      <c r="N82" s="279"/>
      <c r="O82" s="279"/>
      <c r="P82" s="279"/>
      <c r="Q82" s="265"/>
      <c r="R82" s="265"/>
    </row>
    <row r="83" spans="2:18">
      <c r="B83" s="279"/>
      <c r="C83" s="288"/>
      <c r="D83" s="279"/>
      <c r="E83" s="279"/>
      <c r="F83" s="279"/>
      <c r="G83" s="279"/>
      <c r="H83" s="287"/>
      <c r="I83" s="279"/>
      <c r="J83" s="287"/>
      <c r="K83" s="289"/>
      <c r="L83" s="279"/>
      <c r="M83" s="279"/>
      <c r="N83" s="279"/>
      <c r="O83" s="279"/>
      <c r="P83" s="279"/>
      <c r="Q83" s="265"/>
      <c r="R83" s="265"/>
    </row>
    <row r="84" spans="2:18">
      <c r="B84" s="279"/>
      <c r="C84" s="288"/>
      <c r="D84" s="279"/>
      <c r="E84" s="279"/>
      <c r="F84" s="279"/>
      <c r="G84" s="279"/>
      <c r="H84" s="287"/>
      <c r="I84" s="279"/>
      <c r="J84" s="287"/>
      <c r="K84" s="289"/>
      <c r="L84" s="279"/>
      <c r="M84" s="279"/>
      <c r="N84" s="279"/>
      <c r="O84" s="279"/>
      <c r="P84" s="279"/>
      <c r="Q84" s="265"/>
      <c r="R84" s="265"/>
    </row>
    <row r="85" spans="2:18">
      <c r="B85" s="279"/>
      <c r="C85" s="288"/>
      <c r="D85" s="279"/>
      <c r="E85" s="279"/>
      <c r="F85" s="279"/>
      <c r="G85" s="279"/>
      <c r="H85" s="287"/>
      <c r="I85" s="279"/>
      <c r="J85" s="287"/>
      <c r="K85" s="289"/>
      <c r="L85" s="279"/>
      <c r="M85" s="279"/>
      <c r="N85" s="279"/>
      <c r="O85" s="279"/>
      <c r="P85" s="279"/>
      <c r="Q85" s="265"/>
      <c r="R85" s="265"/>
    </row>
    <row r="86" spans="2:18">
      <c r="B86" s="279"/>
      <c r="C86" s="288"/>
      <c r="D86" s="279"/>
      <c r="E86" s="279"/>
      <c r="F86" s="279"/>
      <c r="G86" s="279"/>
      <c r="H86" s="287"/>
      <c r="I86" s="279"/>
      <c r="J86" s="287"/>
      <c r="K86" s="289"/>
      <c r="L86" s="279"/>
      <c r="M86" s="279"/>
      <c r="N86" s="279"/>
      <c r="O86" s="279"/>
      <c r="P86" s="279"/>
      <c r="Q86" s="265"/>
      <c r="R86" s="265"/>
    </row>
    <row r="87" spans="2:18">
      <c r="B87" s="279"/>
      <c r="C87" s="279"/>
      <c r="D87" s="279"/>
      <c r="E87" s="279"/>
      <c r="F87" s="279"/>
      <c r="G87" s="279"/>
      <c r="H87" s="287"/>
      <c r="I87" s="279"/>
      <c r="J87" s="287"/>
      <c r="K87" s="289"/>
      <c r="L87" s="279"/>
      <c r="M87" s="279"/>
      <c r="N87" s="279"/>
      <c r="O87" s="279"/>
      <c r="P87" s="279"/>
      <c r="Q87" s="265"/>
      <c r="R87" s="265"/>
    </row>
    <row r="88" spans="2:18">
      <c r="B88" s="279"/>
      <c r="C88" s="279"/>
      <c r="D88" s="279"/>
      <c r="E88" s="279"/>
      <c r="F88" s="279"/>
      <c r="G88" s="279"/>
      <c r="H88" s="287"/>
      <c r="I88" s="279"/>
      <c r="J88" s="287"/>
      <c r="K88" s="289"/>
      <c r="L88" s="279"/>
      <c r="M88" s="279"/>
      <c r="N88" s="279"/>
      <c r="O88" s="279"/>
      <c r="P88" s="279"/>
      <c r="Q88" s="265"/>
      <c r="R88" s="265"/>
    </row>
    <row r="89" spans="2:18">
      <c r="B89" s="279"/>
      <c r="C89" s="279"/>
      <c r="D89" s="279"/>
      <c r="E89" s="279"/>
      <c r="F89" s="279"/>
      <c r="G89" s="279"/>
      <c r="H89" s="287"/>
      <c r="I89" s="279"/>
      <c r="J89" s="287"/>
      <c r="K89" s="289"/>
      <c r="L89" s="279"/>
      <c r="M89" s="279"/>
      <c r="N89" s="279"/>
      <c r="O89" s="279"/>
      <c r="P89" s="279"/>
      <c r="Q89" s="265"/>
      <c r="R89" s="265"/>
    </row>
    <row r="90" spans="2:18">
      <c r="B90" s="279"/>
      <c r="C90" s="279"/>
      <c r="D90" s="279"/>
      <c r="E90" s="279"/>
      <c r="F90" s="279"/>
      <c r="G90" s="279"/>
      <c r="H90" s="287"/>
      <c r="I90" s="279"/>
      <c r="J90" s="287"/>
      <c r="K90" s="289"/>
      <c r="L90" s="279"/>
      <c r="M90" s="279"/>
      <c r="N90" s="279"/>
      <c r="O90" s="279"/>
      <c r="P90" s="279"/>
      <c r="Q90" s="265"/>
      <c r="R90" s="265"/>
    </row>
    <row r="91" spans="2:18">
      <c r="B91" s="279"/>
      <c r="C91" s="279"/>
      <c r="D91" s="279"/>
      <c r="E91" s="279"/>
      <c r="F91" s="279"/>
      <c r="G91" s="279"/>
      <c r="H91" s="287"/>
      <c r="I91" s="279"/>
      <c r="J91" s="287"/>
      <c r="K91" s="289"/>
      <c r="L91" s="279"/>
      <c r="M91" s="279"/>
      <c r="N91" s="279"/>
      <c r="O91" s="279"/>
      <c r="P91" s="279"/>
      <c r="Q91" s="265"/>
      <c r="R91" s="265"/>
    </row>
    <row r="92" spans="2:18">
      <c r="B92" s="279"/>
      <c r="C92" s="279"/>
      <c r="D92" s="279"/>
      <c r="E92" s="279"/>
      <c r="F92" s="279"/>
      <c r="G92" s="279"/>
      <c r="H92" s="287"/>
      <c r="I92" s="279"/>
      <c r="J92" s="287"/>
      <c r="K92" s="289"/>
      <c r="L92" s="279"/>
      <c r="M92" s="279"/>
      <c r="N92" s="279"/>
      <c r="O92" s="279"/>
      <c r="P92" s="279"/>
      <c r="Q92" s="265"/>
      <c r="R92" s="265"/>
    </row>
    <row r="93" spans="2:18">
      <c r="B93" s="279"/>
      <c r="C93" s="279"/>
      <c r="D93" s="279"/>
      <c r="E93" s="279"/>
      <c r="F93" s="265"/>
      <c r="G93" s="279"/>
      <c r="H93" s="279"/>
      <c r="I93" s="279"/>
      <c r="J93" s="279"/>
      <c r="K93" s="279"/>
      <c r="L93" s="279"/>
      <c r="M93" s="279"/>
      <c r="N93" s="279"/>
      <c r="O93" s="279"/>
      <c r="P93" s="279"/>
      <c r="Q93" s="265"/>
      <c r="R93" s="265"/>
    </row>
    <row r="94" spans="2:18">
      <c r="B94" s="279"/>
      <c r="C94" s="279"/>
      <c r="D94" s="279"/>
      <c r="E94" s="279"/>
      <c r="F94" s="279"/>
      <c r="G94" s="279"/>
      <c r="H94" s="279"/>
      <c r="I94" s="279"/>
      <c r="J94" s="279"/>
      <c r="K94" s="279"/>
      <c r="L94" s="279"/>
      <c r="M94" s="279"/>
      <c r="N94" s="279"/>
      <c r="O94" s="279"/>
      <c r="P94" s="279"/>
      <c r="Q94" s="265"/>
      <c r="R94" s="265"/>
    </row>
    <row r="95" spans="2:18">
      <c r="J95"/>
      <c r="N95"/>
      <c r="Q95" s="279"/>
      <c r="R95" s="279"/>
    </row>
    <row r="96" spans="2:18">
      <c r="J96"/>
      <c r="N96"/>
    </row>
    <row r="97" spans="10:14">
      <c r="J97"/>
      <c r="N97"/>
    </row>
    <row r="98" spans="10:14">
      <c r="J98"/>
      <c r="N98"/>
    </row>
    <row r="99" spans="10:14">
      <c r="J99"/>
      <c r="N99"/>
    </row>
    <row r="100" spans="10:14">
      <c r="J100"/>
      <c r="N100"/>
    </row>
    <row r="101" spans="10:14">
      <c r="J101"/>
      <c r="N101"/>
    </row>
    <row r="102" spans="10:14">
      <c r="J102"/>
      <c r="N102"/>
    </row>
    <row r="103" spans="10:14" ht="15" customHeight="1">
      <c r="J103"/>
    </row>
    <row r="104" spans="10:14" ht="15.75" customHeight="1">
      <c r="J104"/>
    </row>
  </sheetData>
  <sortState ref="C16:C32">
    <sortCondition ref="C16"/>
  </sortState>
  <mergeCells count="9">
    <mergeCell ref="B5:P6"/>
    <mergeCell ref="B7:P7"/>
    <mergeCell ref="H9:J9"/>
    <mergeCell ref="E9:G9"/>
    <mergeCell ref="B38:B47"/>
    <mergeCell ref="K9:P9"/>
    <mergeCell ref="B18:B32"/>
    <mergeCell ref="B34:B36"/>
    <mergeCell ref="B11:B16"/>
  </mergeCells>
  <conditionalFormatting sqref="J11:J47 P11:P48">
    <cfRule type="cellIs" dxfId="0" priority="2" operator="greaterThan">
      <formula>0.9</formula>
    </cfRule>
  </conditionalFormatting>
  <pageMargins left="0.7" right="0.7" top="0.75" bottom="0.75" header="0.3" footer="0.3"/>
  <pageSetup paperSize="9" orientation="portrait" r:id="rId1"/>
  <ignoredErrors>
    <ignoredError sqref="M34 M33:O33 M11 G12 M18 M38:M45 G36 M31 M20:M28" formula="1"/>
  </ignoredError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I30"/>
  <sheetViews>
    <sheetView workbookViewId="0">
      <selection activeCell="B3" sqref="B3"/>
    </sheetView>
  </sheetViews>
  <sheetFormatPr baseColWidth="10" defaultRowHeight="15"/>
  <cols>
    <col min="2" max="2" width="14.28515625" customWidth="1"/>
    <col min="3" max="3" width="36" customWidth="1"/>
    <col min="4" max="4" width="21.85546875" customWidth="1"/>
    <col min="5" max="5" width="14.42578125" customWidth="1"/>
    <col min="8" max="8" width="14.140625" customWidth="1"/>
    <col min="9" max="9" width="21.28515625" bestFit="1" customWidth="1"/>
  </cols>
  <sheetData>
    <row r="2" spans="1:9" ht="18.75">
      <c r="A2" s="340" t="s">
        <v>308</v>
      </c>
      <c r="B2" s="340" t="s">
        <v>82</v>
      </c>
      <c r="C2" s="340" t="s">
        <v>84</v>
      </c>
    </row>
    <row r="3" spans="1:9" ht="18.75">
      <c r="A3" s="340" t="s">
        <v>161</v>
      </c>
      <c r="B3" s="373">
        <v>579818</v>
      </c>
      <c r="C3" s="340">
        <v>30551.501</v>
      </c>
    </row>
    <row r="6" spans="1:9" ht="18.75">
      <c r="A6" s="342" t="s">
        <v>309</v>
      </c>
      <c r="B6" s="342" t="s">
        <v>107</v>
      </c>
      <c r="C6" s="343" t="s">
        <v>310</v>
      </c>
      <c r="D6" s="345" t="s">
        <v>313</v>
      </c>
      <c r="E6" s="342" t="s">
        <v>311</v>
      </c>
      <c r="F6" s="342" t="s">
        <v>82</v>
      </c>
      <c r="G6" s="342" t="s">
        <v>84</v>
      </c>
      <c r="H6" s="342" t="s">
        <v>161</v>
      </c>
      <c r="I6" s="341"/>
    </row>
    <row r="7" spans="1:9" ht="18.75">
      <c r="A7" s="365">
        <v>1514</v>
      </c>
      <c r="B7" s="366">
        <v>45474</v>
      </c>
      <c r="C7" s="344" t="s">
        <v>157</v>
      </c>
      <c r="D7" s="346" t="s">
        <v>312</v>
      </c>
      <c r="E7" s="367">
        <v>5.0000000000000001E-4</v>
      </c>
      <c r="F7" s="365">
        <f>E7*B3</f>
        <v>289.90899999999999</v>
      </c>
      <c r="G7" s="365"/>
      <c r="H7" s="365">
        <f>SUM(F7:G7)</f>
        <v>289.90899999999999</v>
      </c>
      <c r="I7" s="341"/>
    </row>
    <row r="8" spans="1:9" ht="18.75">
      <c r="A8" s="365">
        <v>1512</v>
      </c>
      <c r="B8" s="366">
        <v>45474</v>
      </c>
      <c r="C8" s="344" t="s">
        <v>157</v>
      </c>
      <c r="D8" s="346" t="s">
        <v>312</v>
      </c>
      <c r="E8" s="367">
        <v>1.5E-3</v>
      </c>
      <c r="F8" s="365">
        <f>B3*E8</f>
        <v>869.72699999999998</v>
      </c>
      <c r="G8" s="365"/>
      <c r="H8" s="365">
        <f>SUM(F8:G8)</f>
        <v>869.72699999999998</v>
      </c>
      <c r="I8" s="341"/>
    </row>
    <row r="9" spans="1:9" s="380" customFormat="1" ht="18.75">
      <c r="A9" s="374">
        <v>1515</v>
      </c>
      <c r="B9" s="375">
        <v>45474</v>
      </c>
      <c r="C9" s="376" t="s">
        <v>157</v>
      </c>
      <c r="D9" s="377" t="s">
        <v>312</v>
      </c>
      <c r="E9" s="378">
        <v>1.5E-3</v>
      </c>
      <c r="F9" s="374">
        <f>B3*E9</f>
        <v>869.72699999999998</v>
      </c>
      <c r="G9" s="374"/>
      <c r="H9" s="374">
        <f>SUM(F9:G9)</f>
        <v>869.72699999999998</v>
      </c>
      <c r="I9" s="379"/>
    </row>
    <row r="10" spans="1:9" ht="18.75">
      <c r="A10" s="374">
        <v>1516</v>
      </c>
      <c r="B10" s="375">
        <v>45474</v>
      </c>
      <c r="C10" s="376" t="s">
        <v>157</v>
      </c>
      <c r="D10" s="377" t="s">
        <v>312</v>
      </c>
      <c r="E10" s="378">
        <v>1.5E-3</v>
      </c>
      <c r="F10" s="374">
        <f>E10*B3</f>
        <v>869.72699999999998</v>
      </c>
      <c r="G10" s="374"/>
      <c r="H10" s="374">
        <f>SUM(F10:G10)</f>
        <v>869.72699999999998</v>
      </c>
      <c r="I10" s="379"/>
    </row>
    <row r="11" spans="1:9" ht="18.75">
      <c r="A11" s="374">
        <v>1513</v>
      </c>
      <c r="B11" s="375">
        <v>45474</v>
      </c>
      <c r="C11" s="376" t="s">
        <v>157</v>
      </c>
      <c r="D11" s="377" t="s">
        <v>312</v>
      </c>
      <c r="E11" s="383">
        <v>4.0000000000000001E-3</v>
      </c>
      <c r="F11" s="374">
        <f>E11*B3</f>
        <v>2319.2719999999999</v>
      </c>
      <c r="G11" s="374"/>
      <c r="H11" s="374">
        <f>SUM(F11:G11)</f>
        <v>2319.2719999999999</v>
      </c>
      <c r="I11" s="341"/>
    </row>
    <row r="12" spans="1:9" ht="18.75">
      <c r="A12" s="365"/>
      <c r="B12" s="365"/>
      <c r="C12" s="368"/>
      <c r="D12" s="369"/>
      <c r="E12" s="365"/>
      <c r="F12" s="365"/>
      <c r="G12" s="365"/>
      <c r="H12" s="365"/>
      <c r="I12" s="341"/>
    </row>
    <row r="13" spans="1:9">
      <c r="A13" s="370"/>
      <c r="B13" s="370"/>
      <c r="C13" s="371"/>
      <c r="D13" s="372"/>
      <c r="E13" s="370"/>
      <c r="F13" s="370"/>
      <c r="G13" s="370"/>
      <c r="H13" s="370"/>
    </row>
    <row r="14" spans="1:9">
      <c r="A14" s="370"/>
      <c r="B14" s="370"/>
      <c r="C14" s="371"/>
      <c r="D14" s="372"/>
      <c r="E14" s="370"/>
      <c r="F14" s="370"/>
      <c r="G14" s="370"/>
      <c r="H14" s="370"/>
    </row>
    <row r="15" spans="1:9">
      <c r="A15" s="370"/>
      <c r="B15" s="370"/>
      <c r="C15" s="371"/>
      <c r="D15" s="372"/>
      <c r="E15" s="370"/>
      <c r="F15" s="370"/>
      <c r="G15" s="370"/>
      <c r="H15" s="370"/>
    </row>
    <row r="16" spans="1:9">
      <c r="A16" s="370"/>
      <c r="B16" s="370"/>
      <c r="C16" s="371"/>
      <c r="D16" s="372"/>
      <c r="E16" s="370"/>
      <c r="F16" s="370"/>
      <c r="G16" s="370"/>
      <c r="H16" s="370"/>
    </row>
    <row r="17" spans="1:8">
      <c r="A17" s="370"/>
      <c r="B17" s="370"/>
      <c r="C17" s="371"/>
      <c r="D17" s="372"/>
      <c r="E17" s="370"/>
      <c r="F17" s="370"/>
      <c r="G17" s="370"/>
      <c r="H17" s="370"/>
    </row>
    <row r="18" spans="1:8">
      <c r="A18" s="370"/>
      <c r="B18" s="370"/>
      <c r="C18" s="371"/>
      <c r="D18" s="372"/>
      <c r="E18" s="370"/>
      <c r="F18" s="370"/>
      <c r="G18" s="370"/>
      <c r="H18" s="370"/>
    </row>
    <row r="19" spans="1:8">
      <c r="A19" s="370"/>
      <c r="B19" s="370"/>
      <c r="C19" s="371"/>
      <c r="D19" s="372"/>
      <c r="E19" s="370"/>
      <c r="F19" s="370"/>
      <c r="G19" s="370"/>
      <c r="H19" s="370"/>
    </row>
    <row r="20" spans="1:8">
      <c r="A20" s="370"/>
      <c r="B20" s="370"/>
      <c r="C20" s="371"/>
      <c r="D20" s="372"/>
      <c r="E20" s="370"/>
      <c r="F20" s="370"/>
      <c r="G20" s="370"/>
      <c r="H20" s="370"/>
    </row>
    <row r="21" spans="1:8">
      <c r="A21" s="370"/>
      <c r="B21" s="370"/>
      <c r="C21" s="371"/>
      <c r="D21" s="372"/>
      <c r="E21" s="370"/>
      <c r="F21" s="370"/>
      <c r="G21" s="370"/>
      <c r="H21" s="370"/>
    </row>
    <row r="22" spans="1:8">
      <c r="A22" s="370"/>
      <c r="B22" s="370"/>
      <c r="C22" s="371"/>
      <c r="D22" s="372"/>
      <c r="E22" s="370"/>
      <c r="F22" s="370"/>
      <c r="G22" s="370"/>
      <c r="H22" s="370"/>
    </row>
    <row r="23" spans="1:8">
      <c r="A23" s="370"/>
      <c r="B23" s="370"/>
      <c r="C23" s="371"/>
      <c r="D23" s="372"/>
      <c r="E23" s="370"/>
      <c r="F23" s="370"/>
      <c r="G23" s="370"/>
      <c r="H23" s="370"/>
    </row>
    <row r="24" spans="1:8">
      <c r="A24" s="370"/>
      <c r="B24" s="370"/>
      <c r="C24" s="371"/>
      <c r="D24" s="372"/>
      <c r="E24" s="370"/>
      <c r="F24" s="370"/>
      <c r="G24" s="370"/>
      <c r="H24" s="370"/>
    </row>
    <row r="25" spans="1:8">
      <c r="A25" s="370"/>
      <c r="B25" s="370"/>
      <c r="C25" s="371"/>
      <c r="D25" s="372"/>
      <c r="E25" s="370"/>
      <c r="F25" s="370"/>
      <c r="G25" s="370"/>
      <c r="H25" s="370"/>
    </row>
    <row r="26" spans="1:8">
      <c r="A26" s="370"/>
      <c r="B26" s="370"/>
      <c r="C26" s="371"/>
      <c r="D26" s="372"/>
      <c r="E26" s="370"/>
      <c r="F26" s="370"/>
      <c r="G26" s="370"/>
      <c r="H26" s="370"/>
    </row>
    <row r="27" spans="1:8">
      <c r="A27" s="370"/>
      <c r="B27" s="370"/>
      <c r="C27" s="371"/>
      <c r="D27" s="372"/>
      <c r="E27" s="370"/>
      <c r="F27" s="370"/>
      <c r="G27" s="370"/>
      <c r="H27" s="370"/>
    </row>
    <row r="28" spans="1:8">
      <c r="A28" s="370"/>
      <c r="B28" s="370"/>
      <c r="C28" s="371"/>
      <c r="D28" s="372"/>
      <c r="E28" s="370"/>
      <c r="F28" s="370"/>
      <c r="G28" s="370"/>
      <c r="H28" s="370"/>
    </row>
    <row r="29" spans="1:8">
      <c r="A29" s="370"/>
      <c r="B29" s="370"/>
      <c r="C29" s="371"/>
      <c r="D29" s="372"/>
      <c r="E29" s="370"/>
      <c r="F29" s="370"/>
      <c r="G29" s="370"/>
      <c r="H29" s="370"/>
    </row>
    <row r="30" spans="1:8">
      <c r="A30" s="370"/>
      <c r="B30" s="370"/>
      <c r="C30" s="371"/>
      <c r="D30" s="372"/>
      <c r="E30" s="370"/>
      <c r="F30" s="370"/>
      <c r="G30" s="370"/>
      <c r="H30" s="370"/>
    </row>
  </sheetData>
  <pageMargins left="0.7" right="0.7" top="0.75" bottom="0.75" header="0.3" footer="0.3"/>
  <pageSetup orientation="portrait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5"/>
  <sheetViews>
    <sheetView workbookViewId="0">
      <selection activeCell="E37" sqref="E37"/>
    </sheetView>
  </sheetViews>
  <sheetFormatPr baseColWidth="10" defaultRowHeight="15"/>
  <cols>
    <col min="2" max="2" width="18.7109375" customWidth="1"/>
    <col min="3" max="3" width="27.28515625" customWidth="1"/>
    <col min="4" max="4" width="22.28515625" hidden="1" customWidth="1"/>
    <col min="5" max="5" width="24.42578125" bestFit="1" customWidth="1"/>
    <col min="6" max="6" width="10.7109375" bestFit="1" customWidth="1"/>
    <col min="7" max="7" width="12.7109375" bestFit="1" customWidth="1"/>
    <col min="8" max="8" width="13.42578125" bestFit="1" customWidth="1"/>
  </cols>
  <sheetData>
    <row r="2" spans="2:9">
      <c r="B2" s="473" t="s">
        <v>148</v>
      </c>
      <c r="C2" s="473"/>
      <c r="D2" s="473"/>
      <c r="E2" s="473"/>
      <c r="F2" s="473"/>
      <c r="G2" s="473"/>
      <c r="H2" s="473"/>
      <c r="I2" s="473"/>
    </row>
    <row r="3" spans="2:9">
      <c r="B3" s="474">
        <f>Resumen!C4</f>
        <v>45484</v>
      </c>
      <c r="C3" s="474"/>
      <c r="D3" s="474"/>
      <c r="E3" s="474"/>
      <c r="F3" s="474"/>
      <c r="G3" s="474"/>
      <c r="H3" s="474"/>
      <c r="I3" s="474"/>
    </row>
    <row r="4" spans="2:9">
      <c r="B4" s="67"/>
      <c r="C4" s="67"/>
      <c r="D4" s="67"/>
      <c r="E4" s="67"/>
      <c r="F4" s="67"/>
      <c r="G4" s="67"/>
      <c r="H4" s="67"/>
      <c r="I4" s="67"/>
    </row>
    <row r="5" spans="2:9">
      <c r="B5" s="111" t="s">
        <v>128</v>
      </c>
      <c r="C5" s="111" t="s">
        <v>26</v>
      </c>
      <c r="D5" s="111" t="s">
        <v>34</v>
      </c>
      <c r="E5" s="111" t="s">
        <v>149</v>
      </c>
      <c r="F5" s="111" t="s">
        <v>129</v>
      </c>
      <c r="G5" s="111" t="s">
        <v>130</v>
      </c>
      <c r="H5" s="111" t="s">
        <v>131</v>
      </c>
      <c r="I5" s="111" t="s">
        <v>33</v>
      </c>
    </row>
  </sheetData>
  <mergeCells count="2">
    <mergeCell ref="B2:I2"/>
    <mergeCell ref="B3:I3"/>
  </mergeCells>
  <phoneticPr fontId="34" type="noConversion"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"/>
  <sheetViews>
    <sheetView workbookViewId="0">
      <selection activeCell="N38" sqref="N38"/>
    </sheetView>
  </sheetViews>
  <sheetFormatPr baseColWidth="10" defaultRowHeight="15"/>
  <cols>
    <col min="1" max="1" width="11.42578125" style="67"/>
    <col min="2" max="2" width="26.7109375" style="67" bestFit="1" customWidth="1"/>
    <col min="3" max="3" width="17.42578125" style="67" bestFit="1" customWidth="1"/>
    <col min="4" max="4" width="7" style="67" bestFit="1" customWidth="1"/>
    <col min="5" max="5" width="22.28515625" style="67" hidden="1" customWidth="1"/>
    <col min="6" max="6" width="24.42578125" style="67" bestFit="1" customWidth="1"/>
    <col min="7" max="7" width="10.7109375" style="67" bestFit="1" customWidth="1"/>
    <col min="8" max="8" width="8.7109375" style="67" bestFit="1" customWidth="1"/>
    <col min="9" max="9" width="13.42578125" style="67" bestFit="1" customWidth="1"/>
    <col min="10" max="16384" width="11.42578125" style="67"/>
  </cols>
  <sheetData>
    <row r="2" spans="2:9">
      <c r="B2" s="137" t="s">
        <v>93</v>
      </c>
      <c r="C2" s="137" t="s">
        <v>133</v>
      </c>
      <c r="D2" s="137" t="s">
        <v>110</v>
      </c>
      <c r="E2" s="137" t="s">
        <v>134</v>
      </c>
      <c r="F2" s="138" t="s">
        <v>149</v>
      </c>
      <c r="G2" s="138" t="s">
        <v>129</v>
      </c>
      <c r="H2" s="138" t="s">
        <v>130</v>
      </c>
      <c r="I2" s="138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42"/>
  <sheetViews>
    <sheetView workbookViewId="0">
      <selection activeCell="M11" sqref="M11"/>
    </sheetView>
  </sheetViews>
  <sheetFormatPr baseColWidth="10" defaultRowHeight="15"/>
  <cols>
    <col min="1" max="1" width="11.42578125" style="67"/>
    <col min="2" max="2" width="20.7109375" style="67" customWidth="1"/>
    <col min="3" max="3" width="15.5703125" style="67" customWidth="1"/>
    <col min="4" max="5" width="18.42578125" style="67" customWidth="1"/>
    <col min="6" max="6" width="13.42578125" style="67" customWidth="1"/>
    <col min="7" max="7" width="11.42578125" style="67"/>
    <col min="8" max="8" width="14.42578125" style="67" customWidth="1"/>
    <col min="9" max="16384" width="11.42578125" style="67"/>
  </cols>
  <sheetData>
    <row r="3" spans="1:16">
      <c r="C3" s="475" t="s">
        <v>154</v>
      </c>
      <c r="D3" s="475"/>
      <c r="E3" s="475"/>
      <c r="F3" s="475"/>
      <c r="G3" s="475"/>
      <c r="H3" s="475"/>
    </row>
    <row r="4" spans="1:16">
      <c r="B4" s="105"/>
      <c r="C4" s="476">
        <f>Resumen!C4</f>
        <v>45484</v>
      </c>
      <c r="D4" s="476"/>
      <c r="E4" s="476"/>
      <c r="F4" s="476"/>
      <c r="G4" s="476"/>
      <c r="H4" s="476"/>
      <c r="I4" s="105"/>
      <c r="J4" s="105"/>
      <c r="O4" s="475" t="s">
        <v>124</v>
      </c>
      <c r="P4" s="475"/>
    </row>
    <row r="5" spans="1:16">
      <c r="B5" s="106" t="s">
        <v>125</v>
      </c>
      <c r="C5" s="106" t="s">
        <v>109</v>
      </c>
      <c r="D5" s="106" t="s">
        <v>110</v>
      </c>
      <c r="E5" s="106" t="s">
        <v>22</v>
      </c>
      <c r="F5" s="106" t="s">
        <v>101</v>
      </c>
      <c r="G5" s="106" t="s">
        <v>126</v>
      </c>
      <c r="H5" s="106" t="s">
        <v>6</v>
      </c>
      <c r="I5" s="106" t="s">
        <v>7</v>
      </c>
      <c r="J5" s="104"/>
      <c r="O5" s="108" t="s">
        <v>99</v>
      </c>
      <c r="P5" s="109" t="e">
        <f>+#REF!+H19+H26+H33+H42</f>
        <v>#REF!</v>
      </c>
    </row>
    <row r="6" spans="1:16">
      <c r="A6" s="107"/>
      <c r="O6" s="108" t="s">
        <v>119</v>
      </c>
      <c r="P6" s="103"/>
    </row>
    <row r="7" spans="1:16">
      <c r="A7" s="107"/>
    </row>
    <row r="8" spans="1:16">
      <c r="A8" s="107"/>
    </row>
    <row r="9" spans="1:16">
      <c r="A9" s="105"/>
    </row>
    <row r="10" spans="1:16">
      <c r="A10" s="105"/>
    </row>
    <row r="11" spans="1:16">
      <c r="A11" s="105"/>
    </row>
    <row r="12" spans="1:16">
      <c r="A12" s="105"/>
    </row>
    <row r="13" spans="1:16">
      <c r="A13" s="105"/>
    </row>
    <row r="14" spans="1:16">
      <c r="A14" s="89"/>
    </row>
    <row r="15" spans="1:16">
      <c r="A15" s="89"/>
    </row>
    <row r="16" spans="1:16">
      <c r="A16" s="89"/>
    </row>
    <row r="17" spans="1:10">
      <c r="A17" s="89"/>
    </row>
    <row r="18" spans="1:10">
      <c r="B18" s="93"/>
      <c r="C18" s="93"/>
      <c r="D18" s="105"/>
      <c r="E18" s="105"/>
      <c r="F18" s="105"/>
      <c r="G18" s="105"/>
      <c r="H18" s="105"/>
      <c r="I18" s="105"/>
      <c r="J18" s="89"/>
    </row>
    <row r="19" spans="1:10">
      <c r="B19" s="93"/>
      <c r="C19" s="93"/>
      <c r="D19" s="105"/>
      <c r="E19" s="105"/>
      <c r="F19" s="105"/>
      <c r="G19" s="105"/>
      <c r="H19" s="105"/>
      <c r="I19" s="105"/>
      <c r="J19" s="105"/>
    </row>
    <row r="20" spans="1:10">
      <c r="B20" s="105"/>
      <c r="C20" s="105"/>
      <c r="D20" s="105"/>
      <c r="E20" s="105"/>
      <c r="F20" s="105"/>
      <c r="G20" s="105"/>
      <c r="H20" s="105"/>
      <c r="I20" s="105"/>
      <c r="J20" s="105"/>
    </row>
    <row r="21" spans="1:10">
      <c r="B21" s="105"/>
      <c r="C21" s="105"/>
      <c r="D21" s="105"/>
      <c r="E21" s="105"/>
      <c r="F21" s="105"/>
      <c r="G21" s="105"/>
      <c r="H21" s="105"/>
      <c r="I21" s="105"/>
      <c r="J21" s="105"/>
    </row>
    <row r="22" spans="1:10">
      <c r="B22" s="105"/>
      <c r="C22" s="105"/>
      <c r="D22" s="105"/>
      <c r="E22" s="105"/>
      <c r="F22" s="105"/>
      <c r="G22" s="105"/>
      <c r="H22" s="105"/>
      <c r="I22" s="105"/>
      <c r="J22" s="105"/>
    </row>
    <row r="23" spans="1:10">
      <c r="B23" s="104"/>
      <c r="C23" s="104"/>
      <c r="D23" s="104"/>
      <c r="E23" s="104"/>
      <c r="F23" s="104"/>
      <c r="G23" s="104"/>
      <c r="H23" s="104"/>
      <c r="I23" s="104"/>
      <c r="J23" s="104"/>
    </row>
    <row r="24" spans="1:10">
      <c r="B24" s="110"/>
      <c r="C24" s="93"/>
      <c r="D24" s="105"/>
      <c r="E24" s="105"/>
      <c r="F24" s="105"/>
      <c r="G24" s="105"/>
      <c r="H24" s="105"/>
      <c r="I24" s="105"/>
      <c r="J24" s="107"/>
    </row>
    <row r="25" spans="1:10">
      <c r="B25" s="110"/>
      <c r="C25" s="93"/>
      <c r="D25" s="105"/>
      <c r="E25" s="105"/>
      <c r="F25" s="105"/>
      <c r="G25" s="105"/>
      <c r="H25" s="105"/>
      <c r="I25" s="105"/>
      <c r="J25" s="107"/>
    </row>
    <row r="26" spans="1:10">
      <c r="B26" s="105"/>
      <c r="C26" s="105"/>
      <c r="D26" s="105"/>
      <c r="E26" s="105"/>
      <c r="F26" s="105"/>
      <c r="G26" s="105"/>
      <c r="H26" s="105"/>
      <c r="I26" s="105"/>
      <c r="J26" s="105"/>
    </row>
    <row r="27" spans="1:10">
      <c r="B27" s="105"/>
      <c r="C27" s="105"/>
      <c r="D27" s="105"/>
      <c r="E27" s="105"/>
      <c r="F27" s="105"/>
      <c r="G27" s="105"/>
      <c r="H27" s="105"/>
      <c r="I27" s="105"/>
      <c r="J27" s="105"/>
    </row>
    <row r="28" spans="1:10">
      <c r="B28" s="105"/>
      <c r="C28" s="105"/>
      <c r="D28" s="105"/>
      <c r="E28" s="105"/>
      <c r="F28" s="105"/>
      <c r="G28" s="105"/>
      <c r="H28" s="105"/>
      <c r="I28" s="105"/>
      <c r="J28" s="105"/>
    </row>
    <row r="29" spans="1:10">
      <c r="B29" s="105"/>
      <c r="C29" s="105"/>
      <c r="D29" s="105"/>
      <c r="E29" s="105"/>
      <c r="F29" s="105"/>
      <c r="G29" s="105"/>
      <c r="H29" s="105"/>
      <c r="I29" s="105"/>
      <c r="J29" s="105"/>
    </row>
    <row r="30" spans="1:10">
      <c r="B30" s="104"/>
      <c r="C30" s="104"/>
      <c r="D30" s="104"/>
      <c r="E30" s="104"/>
      <c r="F30" s="104"/>
      <c r="G30" s="104"/>
      <c r="H30" s="104"/>
      <c r="I30" s="104"/>
      <c r="J30" s="104"/>
    </row>
    <row r="31" spans="1:10">
      <c r="B31" s="110"/>
      <c r="C31" s="93"/>
      <c r="D31" s="105"/>
      <c r="E31" s="105"/>
      <c r="F31" s="105"/>
      <c r="G31" s="105"/>
      <c r="H31" s="105"/>
      <c r="I31" s="105"/>
      <c r="J31" s="107"/>
    </row>
    <row r="32" spans="1:10">
      <c r="B32" s="110"/>
      <c r="C32" s="93"/>
      <c r="D32" s="105"/>
      <c r="E32" s="105"/>
      <c r="F32" s="105"/>
      <c r="G32" s="105"/>
      <c r="H32" s="105"/>
      <c r="I32" s="105"/>
      <c r="J32" s="107"/>
    </row>
    <row r="33" spans="2:10">
      <c r="B33" s="105"/>
      <c r="C33" s="105"/>
      <c r="D33" s="105"/>
      <c r="E33" s="105"/>
      <c r="F33" s="105"/>
      <c r="G33" s="105"/>
      <c r="H33" s="105"/>
      <c r="I33" s="105"/>
      <c r="J33" s="105"/>
    </row>
    <row r="34" spans="2:10">
      <c r="B34" s="105"/>
      <c r="C34" s="105"/>
      <c r="D34" s="105"/>
      <c r="E34" s="105"/>
      <c r="F34" s="105"/>
      <c r="G34" s="105"/>
      <c r="H34" s="105"/>
      <c r="I34" s="105"/>
      <c r="J34" s="105"/>
    </row>
    <row r="35" spans="2:10">
      <c r="B35" s="105"/>
      <c r="C35" s="105"/>
      <c r="D35" s="105"/>
      <c r="E35" s="105"/>
      <c r="F35" s="105"/>
      <c r="G35" s="105"/>
      <c r="H35" s="105"/>
      <c r="I35" s="105"/>
      <c r="J35" s="105"/>
    </row>
    <row r="36" spans="2:10">
      <c r="B36" s="105"/>
      <c r="C36" s="105"/>
      <c r="D36" s="105"/>
      <c r="E36" s="105"/>
      <c r="F36" s="105"/>
      <c r="G36" s="105"/>
      <c r="H36" s="105"/>
      <c r="I36" s="105"/>
      <c r="J36" s="105"/>
    </row>
    <row r="37" spans="2:10">
      <c r="B37" s="104"/>
      <c r="C37" s="104"/>
      <c r="D37" s="104"/>
      <c r="E37" s="104"/>
      <c r="F37" s="104"/>
      <c r="G37" s="104"/>
      <c r="H37" s="104"/>
      <c r="I37" s="104"/>
      <c r="J37" s="104"/>
    </row>
    <row r="38" spans="2:10">
      <c r="B38" s="93"/>
      <c r="C38" s="93"/>
      <c r="D38" s="105"/>
      <c r="E38" s="105"/>
      <c r="F38" s="105"/>
      <c r="G38" s="105"/>
      <c r="H38" s="105"/>
      <c r="I38" s="105"/>
      <c r="J38" s="89"/>
    </row>
    <row r="39" spans="2:10">
      <c r="B39" s="93"/>
      <c r="C39" s="93"/>
      <c r="D39" s="105"/>
      <c r="E39" s="105"/>
      <c r="F39" s="105"/>
      <c r="G39" s="105"/>
      <c r="H39" s="105"/>
      <c r="I39" s="105"/>
      <c r="J39" s="89"/>
    </row>
    <row r="40" spans="2:10">
      <c r="B40" s="93"/>
      <c r="C40" s="93"/>
      <c r="D40" s="105"/>
      <c r="E40" s="105"/>
      <c r="F40" s="105"/>
      <c r="G40" s="105"/>
      <c r="H40" s="105"/>
      <c r="I40" s="105"/>
      <c r="J40" s="89"/>
    </row>
    <row r="41" spans="2:10">
      <c r="B41" s="93"/>
      <c r="C41" s="93"/>
      <c r="D41" s="105"/>
      <c r="E41" s="105"/>
      <c r="F41" s="105"/>
      <c r="G41" s="105"/>
      <c r="H41" s="105"/>
      <c r="I41" s="105"/>
      <c r="J41" s="89"/>
    </row>
    <row r="42" spans="2:10">
      <c r="B42" s="105"/>
      <c r="C42" s="105"/>
      <c r="D42" s="105"/>
      <c r="E42" s="105"/>
      <c r="F42" s="105"/>
      <c r="G42" s="105"/>
      <c r="H42" s="105"/>
      <c r="I42" s="105"/>
      <c r="J42" s="105"/>
    </row>
  </sheetData>
  <mergeCells count="3">
    <mergeCell ref="C3:H3"/>
    <mergeCell ref="C4:H4"/>
    <mergeCell ref="O4:P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Resumen</vt:lpstr>
      <vt:lpstr>Artesanal Anchoveta XV-IV</vt:lpstr>
      <vt:lpstr>Artesanal S.española XV-IV</vt:lpstr>
      <vt:lpstr>Cesiones ind y colec</vt:lpstr>
      <vt:lpstr>Industrial</vt:lpstr>
      <vt:lpstr>MOVIMIENTO INDUSTRIAL</vt:lpstr>
      <vt:lpstr>Remanente Anchoveta</vt:lpstr>
      <vt:lpstr>Remanente Ces. Ind. Anchoveta </vt:lpstr>
      <vt:lpstr>P. Investigación</vt:lpstr>
      <vt:lpstr>Publicacion web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kmolina</dc:creator>
  <cp:lastModifiedBy>ARCE VERGARA,MARCELA MARGARITA</cp:lastModifiedBy>
  <dcterms:created xsi:type="dcterms:W3CDTF">2019-10-16T16:01:09Z</dcterms:created>
  <dcterms:modified xsi:type="dcterms:W3CDTF">2024-07-11T16:31:24Z</dcterms:modified>
</cp:coreProperties>
</file>