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6- Anchoveta-Sardina Común V-X\"/>
    </mc:Choice>
  </mc:AlternateContent>
  <bookViews>
    <workbookView xWindow="-120" yWindow="-120" windowWidth="20730" windowHeight="11160" tabRatio="816"/>
  </bookViews>
  <sheets>
    <sheet name="RESUMEN" sheetId="1" r:id="rId1"/>
    <sheet name="Anchoveta" sheetId="7" r:id="rId2"/>
    <sheet name="Sardina comun" sheetId="3" r:id="rId3"/>
    <sheet name="Anchov y SardC LTP" sheetId="2" r:id="rId4"/>
    <sheet name="IC Anch-SardC V-VII y IX-X" sheetId="5" r:id="rId5"/>
    <sheet name="IC Anch y SardC VIII" sheetId="8" r:id="rId6"/>
    <sheet name="Consumo humano" sheetId="9" r:id="rId7"/>
    <sheet name="Cuota Imprevistos" sheetId="16" r:id="rId8"/>
    <sheet name="Cesiones Indiv y Colecti VIII" sheetId="12" r:id="rId9"/>
    <sheet name="Cesiones Ind IX-XIV" sheetId="13" r:id="rId10"/>
    <sheet name="Remanente Cesiones" sheetId="21" r:id="rId11"/>
    <sheet name="Pescas de Investigacion" sheetId="15" r:id="rId12"/>
    <sheet name="Compilado" sheetId="14" r:id="rId13"/>
  </sheets>
  <definedNames>
    <definedName name="_xlnm._FilterDatabase" localSheetId="3" hidden="1">'Anchov y SardC LTP'!$C$151:$F$215</definedName>
    <definedName name="_xlnm._FilterDatabase" localSheetId="9" hidden="1">'Cesiones Ind IX-XIV'!$A$3:$O$112</definedName>
    <definedName name="_xlnm._FilterDatabase" localSheetId="8" hidden="1">'Cesiones Indiv y Colecti VIII'!$A$3:$N$631</definedName>
    <definedName name="_xlnm._FilterDatabase" localSheetId="12" hidden="1">Compilado!$A$1:$Q$300</definedName>
    <definedName name="_xlnm._FilterDatabase" localSheetId="11" hidden="1">'Pescas de Investigacion'!$C$4:$J$4</definedName>
    <definedName name="_xlnm._FilterDatabase" localSheetId="2" hidden="1">'Sardina comun'!$C$5:$M$5</definedName>
  </definedNames>
  <calcPr calcId="162913"/>
</workbook>
</file>

<file path=xl/calcChain.xml><?xml version="1.0" encoding="utf-8"?>
<calcChain xmlns="http://schemas.openxmlformats.org/spreadsheetml/2006/main">
  <c r="G106" i="3" l="1"/>
  <c r="H57" i="2"/>
  <c r="I34" i="3" l="1"/>
  <c r="I34" i="7"/>
  <c r="G81" i="3" l="1"/>
  <c r="G81" i="7"/>
  <c r="G58" i="3"/>
  <c r="G58" i="7"/>
  <c r="L198" i="12" l="1"/>
  <c r="G106" i="7" l="1"/>
  <c r="H40" i="2"/>
  <c r="H8" i="2"/>
  <c r="T3" i="13" l="1"/>
  <c r="S3" i="13"/>
  <c r="R3" i="13"/>
  <c r="N631" i="12"/>
  <c r="M631" i="12"/>
  <c r="N630" i="12"/>
  <c r="M630" i="12"/>
  <c r="G66" i="3"/>
  <c r="G66" i="7"/>
  <c r="N628" i="12" l="1"/>
  <c r="M628" i="12"/>
  <c r="N626" i="12"/>
  <c r="M626" i="12"/>
  <c r="H58" i="2"/>
  <c r="H25" i="2"/>
  <c r="O112" i="13"/>
  <c r="N112" i="13"/>
  <c r="O111" i="13"/>
  <c r="N111" i="13"/>
  <c r="G110" i="3"/>
  <c r="G110" i="7"/>
  <c r="G71" i="3"/>
  <c r="G71" i="7"/>
  <c r="N625" i="12" l="1"/>
  <c r="M625" i="12"/>
  <c r="N624" i="12"/>
  <c r="M624" i="12"/>
  <c r="L423" i="12" l="1"/>
  <c r="M5" i="13"/>
  <c r="N623" i="12" l="1"/>
  <c r="M623" i="12"/>
  <c r="N622" i="12"/>
  <c r="M622" i="12"/>
  <c r="G42" i="3"/>
  <c r="G42" i="7"/>
  <c r="G93" i="3"/>
  <c r="G93" i="7"/>
  <c r="L399" i="12" l="1"/>
  <c r="R3" i="12" s="1"/>
  <c r="O19" i="5"/>
  <c r="H54" i="2" l="1"/>
  <c r="H17" i="2"/>
  <c r="N621" i="12"/>
  <c r="M621" i="12"/>
  <c r="N620" i="12"/>
  <c r="M620" i="12"/>
  <c r="N619" i="12"/>
  <c r="M619" i="12"/>
  <c r="N618" i="12"/>
  <c r="M618" i="12"/>
  <c r="N615" i="12"/>
  <c r="M615" i="12"/>
  <c r="N612" i="12"/>
  <c r="M612" i="12"/>
  <c r="N608" i="12"/>
  <c r="M608" i="12"/>
  <c r="N604" i="12"/>
  <c r="M604" i="12"/>
  <c r="H56" i="2"/>
  <c r="H20" i="2"/>
  <c r="N603" i="12" l="1"/>
  <c r="M603" i="12"/>
  <c r="H22" i="2"/>
  <c r="N590" i="12"/>
  <c r="M590" i="12"/>
  <c r="N577" i="12"/>
  <c r="M577" i="12"/>
  <c r="H23" i="2" l="1"/>
  <c r="U3" i="13" l="1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N575" i="12" l="1"/>
  <c r="M575" i="12"/>
  <c r="N573" i="12"/>
  <c r="M573" i="12"/>
  <c r="G52" i="3"/>
  <c r="G52" i="7"/>
  <c r="O104" i="13" l="1"/>
  <c r="N104" i="13"/>
  <c r="O103" i="13"/>
  <c r="N103" i="13"/>
  <c r="G124" i="3"/>
  <c r="G124" i="7"/>
  <c r="G116" i="3"/>
  <c r="G116" i="7"/>
  <c r="N572" i="12" l="1"/>
  <c r="M572" i="12"/>
  <c r="N571" i="12"/>
  <c r="M571" i="12"/>
  <c r="H41" i="2"/>
  <c r="H10" i="2"/>
  <c r="O102" i="13"/>
  <c r="N102" i="13"/>
  <c r="O101" i="13"/>
  <c r="N101" i="13"/>
  <c r="G64" i="3"/>
  <c r="G64" i="7"/>
  <c r="N570" i="12" l="1"/>
  <c r="M570" i="12"/>
  <c r="N569" i="12"/>
  <c r="M569" i="12"/>
  <c r="N568" i="12"/>
  <c r="M568" i="12"/>
  <c r="N567" i="12"/>
  <c r="M567" i="12"/>
  <c r="F6" i="9" l="1"/>
  <c r="F7" i="9"/>
  <c r="N565" i="12" l="1"/>
  <c r="M565" i="12"/>
  <c r="N563" i="12"/>
  <c r="M563" i="12"/>
  <c r="O100" i="13" l="1"/>
  <c r="N100" i="13"/>
  <c r="O99" i="13"/>
  <c r="N99" i="13"/>
  <c r="O98" i="13"/>
  <c r="N98" i="13"/>
  <c r="O97" i="13"/>
  <c r="N97" i="13"/>
  <c r="G44" i="3"/>
  <c r="G44" i="7"/>
  <c r="O95" i="13"/>
  <c r="N95" i="13"/>
  <c r="O93" i="13"/>
  <c r="N93" i="13"/>
  <c r="O92" i="13"/>
  <c r="N92" i="13"/>
  <c r="O91" i="13"/>
  <c r="N91" i="13"/>
  <c r="G40" i="3"/>
  <c r="G40" i="7"/>
  <c r="M553" i="12"/>
  <c r="N553" i="12"/>
  <c r="M555" i="12"/>
  <c r="N555" i="12"/>
  <c r="M557" i="12"/>
  <c r="N557" i="12"/>
  <c r="M560" i="12"/>
  <c r="N560" i="12"/>
  <c r="O90" i="13" l="1"/>
  <c r="N90" i="13"/>
  <c r="O89" i="13"/>
  <c r="N89" i="13"/>
  <c r="G39" i="3"/>
  <c r="G39" i="7"/>
  <c r="G101" i="3" l="1"/>
  <c r="G101" i="7"/>
  <c r="G27" i="3"/>
  <c r="G27" i="7"/>
  <c r="G29" i="3"/>
  <c r="G29" i="7"/>
  <c r="G76" i="3"/>
  <c r="G76" i="7"/>
  <c r="N552" i="12"/>
  <c r="M552" i="12"/>
  <c r="N551" i="12"/>
  <c r="M551" i="12"/>
  <c r="G65" i="3"/>
  <c r="G65" i="7"/>
  <c r="N550" i="12"/>
  <c r="M550" i="12"/>
  <c r="N549" i="12"/>
  <c r="M549" i="12"/>
  <c r="N548" i="12"/>
  <c r="M548" i="12"/>
  <c r="N547" i="12"/>
  <c r="M547" i="12"/>
  <c r="G75" i="3"/>
  <c r="G75" i="7"/>
  <c r="N546" i="12"/>
  <c r="M546" i="12"/>
  <c r="N545" i="12"/>
  <c r="M545" i="12"/>
  <c r="N544" i="12"/>
  <c r="M544" i="12"/>
  <c r="N543" i="12"/>
  <c r="M543" i="12"/>
  <c r="N542" i="12"/>
  <c r="M542" i="12"/>
  <c r="N541" i="12"/>
  <c r="M541" i="12"/>
  <c r="G34" i="3"/>
  <c r="G34" i="7"/>
  <c r="H42" i="2"/>
  <c r="H11" i="2"/>
  <c r="O88" i="13"/>
  <c r="N88" i="13"/>
  <c r="O87" i="13"/>
  <c r="N87" i="13"/>
  <c r="N540" i="12" l="1"/>
  <c r="M540" i="12"/>
  <c r="N539" i="12"/>
  <c r="M539" i="12"/>
  <c r="G60" i="3"/>
  <c r="G60" i="7"/>
  <c r="H64" i="2"/>
  <c r="H32" i="2" l="1"/>
  <c r="G117" i="3"/>
  <c r="G117" i="7"/>
  <c r="G63" i="3"/>
  <c r="G63" i="7"/>
  <c r="O86" i="13" l="1"/>
  <c r="N86" i="13"/>
  <c r="O85" i="13"/>
  <c r="N85" i="13"/>
  <c r="G53" i="3"/>
  <c r="G53" i="7"/>
  <c r="O84" i="13" l="1"/>
  <c r="N84" i="13"/>
  <c r="O83" i="13"/>
  <c r="N83" i="13"/>
  <c r="N538" i="12" l="1"/>
  <c r="M538" i="12"/>
  <c r="N537" i="12"/>
  <c r="M537" i="12"/>
  <c r="G77" i="3"/>
  <c r="G77" i="7"/>
  <c r="O28" i="5"/>
  <c r="N536" i="12"/>
  <c r="M536" i="12"/>
  <c r="N535" i="12"/>
  <c r="M535" i="12"/>
  <c r="G72" i="3"/>
  <c r="G72" i="7"/>
  <c r="N73" i="13" l="1"/>
  <c r="O73" i="13"/>
  <c r="N74" i="13"/>
  <c r="O74" i="13"/>
  <c r="N75" i="13"/>
  <c r="O75" i="13"/>
  <c r="N76" i="13"/>
  <c r="O76" i="13"/>
  <c r="N77" i="13"/>
  <c r="O77" i="13"/>
  <c r="N78" i="13"/>
  <c r="O78" i="13"/>
  <c r="N79" i="13"/>
  <c r="O79" i="13"/>
  <c r="N80" i="13"/>
  <c r="O80" i="13"/>
  <c r="N81" i="13"/>
  <c r="O81" i="13"/>
  <c r="N82" i="13"/>
  <c r="O82" i="13"/>
  <c r="N71" i="13"/>
  <c r="O71" i="13"/>
  <c r="N72" i="13"/>
  <c r="O72" i="13"/>
  <c r="M531" i="12"/>
  <c r="N531" i="12"/>
  <c r="N527" i="12"/>
  <c r="M527" i="12"/>
  <c r="N49" i="13"/>
  <c r="O49" i="13"/>
  <c r="N50" i="13"/>
  <c r="O50" i="13"/>
  <c r="N51" i="13"/>
  <c r="O51" i="13"/>
  <c r="N52" i="13"/>
  <c r="O52" i="13"/>
  <c r="N53" i="13"/>
  <c r="O53" i="13"/>
  <c r="N54" i="13"/>
  <c r="O54" i="13"/>
  <c r="N55" i="13"/>
  <c r="O55" i="13"/>
  <c r="N56" i="13"/>
  <c r="O56" i="13"/>
  <c r="N57" i="13"/>
  <c r="O57" i="13"/>
  <c r="N58" i="13"/>
  <c r="O58" i="13"/>
  <c r="N59" i="13"/>
  <c r="O59" i="13"/>
  <c r="N60" i="13"/>
  <c r="O60" i="13"/>
  <c r="N61" i="13"/>
  <c r="O61" i="13"/>
  <c r="N62" i="13"/>
  <c r="O62" i="13"/>
  <c r="N63" i="13"/>
  <c r="O63" i="13"/>
  <c r="N64" i="13"/>
  <c r="O64" i="13"/>
  <c r="N65" i="13"/>
  <c r="O65" i="13"/>
  <c r="N66" i="13"/>
  <c r="O66" i="13"/>
  <c r="N67" i="13"/>
  <c r="O67" i="13"/>
  <c r="N68" i="13"/>
  <c r="O68" i="13"/>
  <c r="N69" i="13"/>
  <c r="O69" i="13"/>
  <c r="N70" i="13"/>
  <c r="O70" i="13"/>
  <c r="N47" i="13"/>
  <c r="O47" i="13"/>
  <c r="N48" i="13"/>
  <c r="O48" i="13"/>
  <c r="M525" i="12"/>
  <c r="N525" i="12"/>
  <c r="N523" i="12"/>
  <c r="M523" i="12"/>
  <c r="N45" i="13"/>
  <c r="O45" i="13"/>
  <c r="N46" i="13"/>
  <c r="O46" i="13"/>
  <c r="N44" i="13"/>
  <c r="O44" i="13"/>
  <c r="N43" i="13"/>
  <c r="O43" i="13"/>
  <c r="N521" i="12" l="1"/>
  <c r="M521" i="12"/>
  <c r="O42" i="13"/>
  <c r="N42" i="13"/>
  <c r="H63" i="2"/>
  <c r="H24" i="2"/>
  <c r="N41" i="13"/>
  <c r="O41" i="13"/>
  <c r="H45" i="2"/>
  <c r="N40" i="13"/>
  <c r="O40" i="13"/>
  <c r="H53" i="2"/>
  <c r="M520" i="12"/>
  <c r="N520" i="12"/>
  <c r="H9" i="2"/>
  <c r="N39" i="13"/>
  <c r="O39" i="13"/>
  <c r="H62" i="2"/>
  <c r="M519" i="12"/>
  <c r="N519" i="12"/>
  <c r="M518" i="12"/>
  <c r="N518" i="12"/>
  <c r="N517" i="12"/>
  <c r="M517" i="12"/>
  <c r="N516" i="12"/>
  <c r="M516" i="12"/>
  <c r="M515" i="12"/>
  <c r="N515" i="12"/>
  <c r="M514" i="12"/>
  <c r="N514" i="12"/>
  <c r="N38" i="13"/>
  <c r="O38" i="13"/>
  <c r="H29" i="2"/>
  <c r="N513" i="12"/>
  <c r="M513" i="12"/>
  <c r="N512" i="12"/>
  <c r="M512" i="12"/>
  <c r="G113" i="3"/>
  <c r="G113" i="7"/>
  <c r="N37" i="13"/>
  <c r="O37" i="13"/>
  <c r="N36" i="13"/>
  <c r="O36" i="13"/>
  <c r="N35" i="13"/>
  <c r="O35" i="13"/>
  <c r="N34" i="13"/>
  <c r="O34" i="13"/>
  <c r="N33" i="13"/>
  <c r="O33" i="13"/>
  <c r="N32" i="13"/>
  <c r="O32" i="13"/>
  <c r="N31" i="13"/>
  <c r="O31" i="13"/>
  <c r="N30" i="13"/>
  <c r="O30" i="13"/>
  <c r="N511" i="12" l="1"/>
  <c r="M511" i="12"/>
  <c r="H21" i="2"/>
  <c r="N510" i="12" l="1"/>
  <c r="M510" i="12"/>
  <c r="N509" i="12"/>
  <c r="M509" i="12"/>
  <c r="G136" i="3"/>
  <c r="G136" i="7"/>
  <c r="N29" i="13" l="1"/>
  <c r="O29" i="13"/>
  <c r="N28" i="13"/>
  <c r="O28" i="13"/>
  <c r="N27" i="13"/>
  <c r="O27" i="13"/>
  <c r="N26" i="13"/>
  <c r="O26" i="13"/>
  <c r="N507" i="12" l="1"/>
  <c r="M507" i="12"/>
  <c r="N505" i="12"/>
  <c r="M505" i="12"/>
  <c r="G118" i="3"/>
  <c r="G118" i="7"/>
  <c r="N25" i="13"/>
  <c r="O25" i="13"/>
  <c r="N24" i="13"/>
  <c r="O24" i="13"/>
  <c r="N23" i="13"/>
  <c r="O23" i="13"/>
  <c r="N22" i="13"/>
  <c r="O22" i="13"/>
  <c r="N21" i="13" l="1"/>
  <c r="O21" i="13"/>
  <c r="N20" i="13"/>
  <c r="O20" i="13"/>
  <c r="G84" i="3"/>
  <c r="G84" i="7"/>
  <c r="G134" i="3"/>
  <c r="H40" i="1" l="1"/>
  <c r="H20" i="1"/>
  <c r="N19" i="13" l="1"/>
  <c r="O19" i="13"/>
  <c r="N18" i="13"/>
  <c r="O18" i="13"/>
  <c r="G90" i="3"/>
  <c r="G133" i="3"/>
  <c r="G133" i="7"/>
  <c r="G90" i="7"/>
  <c r="N17" i="13"/>
  <c r="O17" i="13"/>
  <c r="N16" i="13"/>
  <c r="O16" i="13"/>
  <c r="G85" i="3"/>
  <c r="G85" i="7"/>
  <c r="M504" i="12"/>
  <c r="N504" i="12"/>
  <c r="M503" i="12"/>
  <c r="N503" i="12"/>
  <c r="J36" i="5" l="1"/>
  <c r="J37" i="5"/>
  <c r="J38" i="5"/>
  <c r="J39" i="5"/>
  <c r="J40" i="5"/>
  <c r="J41" i="5"/>
  <c r="J42" i="5"/>
  <c r="J43" i="5"/>
  <c r="H36" i="5"/>
  <c r="H37" i="5"/>
  <c r="H38" i="5"/>
  <c r="H39" i="5"/>
  <c r="H40" i="5"/>
  <c r="H41" i="5"/>
  <c r="H42" i="5"/>
  <c r="H43" i="5"/>
  <c r="G36" i="5"/>
  <c r="I36" i="5" s="1"/>
  <c r="G37" i="5"/>
  <c r="I37" i="5" s="1"/>
  <c r="G38" i="5"/>
  <c r="I38" i="5" s="1"/>
  <c r="G39" i="5"/>
  <c r="I39" i="5" s="1"/>
  <c r="G40" i="5"/>
  <c r="G41" i="5"/>
  <c r="G42" i="5"/>
  <c r="G43" i="5"/>
  <c r="J24" i="5"/>
  <c r="J25" i="5"/>
  <c r="J26" i="5"/>
  <c r="J27" i="5"/>
  <c r="J28" i="5"/>
  <c r="J29" i="5"/>
  <c r="J30" i="5"/>
  <c r="J31" i="5"/>
  <c r="J23" i="5"/>
  <c r="H24" i="5"/>
  <c r="H25" i="5"/>
  <c r="H26" i="5"/>
  <c r="H27" i="5"/>
  <c r="H28" i="5"/>
  <c r="H29" i="5"/>
  <c r="H30" i="5"/>
  <c r="H31" i="5"/>
  <c r="H23" i="5"/>
  <c r="G25" i="5"/>
  <c r="G26" i="5"/>
  <c r="G27" i="5"/>
  <c r="G28" i="5"/>
  <c r="G29" i="5"/>
  <c r="G30" i="5"/>
  <c r="G31" i="5"/>
  <c r="G23" i="5"/>
  <c r="G24" i="5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I41" i="5" l="1"/>
  <c r="I42" i="5"/>
  <c r="I40" i="5"/>
  <c r="I43" i="5"/>
  <c r="I27" i="5"/>
  <c r="I28" i="5"/>
  <c r="I31" i="5"/>
  <c r="I25" i="5"/>
  <c r="I30" i="5"/>
  <c r="I29" i="5"/>
  <c r="I26" i="5"/>
  <c r="I24" i="5"/>
  <c r="O156" i="14"/>
  <c r="G59" i="3" l="1"/>
  <c r="G19" i="3"/>
  <c r="G59" i="7"/>
  <c r="G19" i="7"/>
  <c r="M502" i="12"/>
  <c r="N502" i="12"/>
  <c r="M501" i="12"/>
  <c r="N501" i="12"/>
  <c r="G127" i="3"/>
  <c r="G127" i="7"/>
  <c r="G122" i="3"/>
  <c r="G104" i="3"/>
  <c r="G104" i="7"/>
  <c r="G122" i="7"/>
  <c r="G109" i="3" l="1"/>
  <c r="F41" i="1"/>
  <c r="M500" i="12" l="1"/>
  <c r="N500" i="12"/>
  <c r="M499" i="12"/>
  <c r="N499" i="12"/>
  <c r="M498" i="12" l="1"/>
  <c r="N498" i="12"/>
  <c r="M497" i="12"/>
  <c r="N497" i="12"/>
  <c r="G73" i="3"/>
  <c r="G73" i="7"/>
  <c r="N390" i="12"/>
  <c r="M390" i="12"/>
  <c r="M496" i="12"/>
  <c r="N496" i="12"/>
  <c r="M495" i="12"/>
  <c r="N495" i="12"/>
  <c r="G30" i="7"/>
  <c r="G30" i="3"/>
  <c r="N494" i="12"/>
  <c r="M494" i="12"/>
  <c r="N493" i="12"/>
  <c r="M493" i="12"/>
  <c r="G57" i="3"/>
  <c r="G57" i="7"/>
  <c r="L379" i="12" l="1"/>
  <c r="Q3" i="12" s="1"/>
  <c r="N15" i="13" l="1"/>
  <c r="O15" i="13"/>
  <c r="N14" i="13"/>
  <c r="O14" i="13"/>
  <c r="M492" i="12" l="1"/>
  <c r="N492" i="12"/>
  <c r="M491" i="12"/>
  <c r="N491" i="12"/>
  <c r="G128" i="3"/>
  <c r="G79" i="3"/>
  <c r="G79" i="7"/>
  <c r="G128" i="7"/>
  <c r="N13" i="13"/>
  <c r="O13" i="13"/>
  <c r="N12" i="13"/>
  <c r="O12" i="13"/>
  <c r="M486" i="12"/>
  <c r="N486" i="12"/>
  <c r="M487" i="12"/>
  <c r="N487" i="12"/>
  <c r="M488" i="12"/>
  <c r="N488" i="12"/>
  <c r="M489" i="12"/>
  <c r="N489" i="12"/>
  <c r="M490" i="12"/>
  <c r="N490" i="12"/>
  <c r="N485" i="12"/>
  <c r="M485" i="12"/>
  <c r="G134" i="7"/>
  <c r="N11" i="13"/>
  <c r="O11" i="13"/>
  <c r="N10" i="13"/>
  <c r="O10" i="13"/>
  <c r="G129" i="3"/>
  <c r="G129" i="7"/>
  <c r="M453" i="12"/>
  <c r="N453" i="12"/>
  <c r="N421" i="12"/>
  <c r="M421" i="12"/>
  <c r="G7" i="3"/>
  <c r="G7" i="7"/>
  <c r="M416" i="12"/>
  <c r="N416" i="12"/>
  <c r="M417" i="12"/>
  <c r="N417" i="12"/>
  <c r="M418" i="12"/>
  <c r="N418" i="12"/>
  <c r="M419" i="12"/>
  <c r="N419" i="12"/>
  <c r="M420" i="12"/>
  <c r="N420" i="12"/>
  <c r="N415" i="12"/>
  <c r="M415" i="12"/>
  <c r="M412" i="12"/>
  <c r="N412" i="12"/>
  <c r="N409" i="12"/>
  <c r="M409" i="12"/>
  <c r="G38" i="3"/>
  <c r="G23" i="3"/>
  <c r="G38" i="7"/>
  <c r="G23" i="7"/>
  <c r="G36" i="3"/>
  <c r="G36" i="7"/>
  <c r="N405" i="12"/>
  <c r="M405" i="12"/>
  <c r="H59" i="2"/>
  <c r="M404" i="12" l="1"/>
  <c r="N404" i="12"/>
  <c r="H18" i="2"/>
  <c r="M396" i="12"/>
  <c r="N396" i="12"/>
  <c r="M397" i="12"/>
  <c r="N397" i="12"/>
  <c r="M398" i="12"/>
  <c r="N398" i="12"/>
  <c r="M399" i="12"/>
  <c r="N399" i="12"/>
  <c r="M400" i="12"/>
  <c r="N400" i="12"/>
  <c r="M401" i="12"/>
  <c r="N401" i="12"/>
  <c r="M402" i="12"/>
  <c r="N402" i="12"/>
  <c r="M403" i="12"/>
  <c r="N403" i="12"/>
  <c r="N395" i="12"/>
  <c r="M395" i="12"/>
  <c r="N394" i="12"/>
  <c r="M394" i="12"/>
  <c r="I6" i="16" l="1"/>
  <c r="N386" i="12" l="1"/>
  <c r="M386" i="12"/>
  <c r="N382" i="12"/>
  <c r="M382" i="12"/>
  <c r="N381" i="12" l="1"/>
  <c r="M381" i="12"/>
  <c r="N380" i="12"/>
  <c r="M380" i="12"/>
  <c r="N379" i="12" l="1"/>
  <c r="M379" i="12"/>
  <c r="G37" i="3"/>
  <c r="G37" i="7"/>
  <c r="G92" i="7"/>
  <c r="G92" i="3"/>
  <c r="G69" i="3"/>
  <c r="G69" i="7"/>
  <c r="N378" i="12"/>
  <c r="M378" i="12"/>
  <c r="N377" i="12"/>
  <c r="M377" i="12"/>
  <c r="N376" i="12"/>
  <c r="M376" i="12"/>
  <c r="N375" i="12"/>
  <c r="M375" i="12"/>
  <c r="N374" i="12"/>
  <c r="M374" i="12"/>
  <c r="N373" i="12"/>
  <c r="M373" i="12"/>
  <c r="N372" i="12"/>
  <c r="M372" i="12"/>
  <c r="N371" i="12"/>
  <c r="M371" i="12"/>
  <c r="N370" i="12"/>
  <c r="M370" i="12"/>
  <c r="N369" i="12"/>
  <c r="M369" i="12"/>
  <c r="N368" i="12"/>
  <c r="M368" i="12"/>
  <c r="N367" i="12"/>
  <c r="M367" i="12"/>
  <c r="N366" i="12"/>
  <c r="M366" i="12"/>
  <c r="N365" i="12"/>
  <c r="M365" i="12"/>
  <c r="N364" i="12"/>
  <c r="M364" i="12"/>
  <c r="N363" i="12"/>
  <c r="M363" i="12"/>
  <c r="N362" i="12"/>
  <c r="M362" i="12"/>
  <c r="N361" i="12"/>
  <c r="M361" i="12"/>
  <c r="N360" i="12"/>
  <c r="M360" i="12"/>
  <c r="N359" i="12"/>
  <c r="M359" i="12"/>
  <c r="N358" i="12" l="1"/>
  <c r="M358" i="12"/>
  <c r="N357" i="12"/>
  <c r="M357" i="12"/>
  <c r="N356" i="12"/>
  <c r="M356" i="12"/>
  <c r="N355" i="12"/>
  <c r="M355" i="12"/>
  <c r="N354" i="12" l="1"/>
  <c r="M354" i="12"/>
  <c r="N353" i="12"/>
  <c r="M353" i="12"/>
  <c r="N352" i="12"/>
  <c r="M352" i="12"/>
  <c r="N351" i="12"/>
  <c r="M351" i="12"/>
  <c r="H46" i="2"/>
  <c r="H12" i="2"/>
  <c r="N350" i="12"/>
  <c r="M350" i="12"/>
  <c r="N349" i="12"/>
  <c r="M349" i="12"/>
  <c r="N348" i="12"/>
  <c r="M348" i="12"/>
  <c r="N347" i="12"/>
  <c r="M347" i="12"/>
  <c r="N346" i="12"/>
  <c r="M346" i="12"/>
  <c r="N345" i="12"/>
  <c r="M345" i="12"/>
  <c r="N344" i="12"/>
  <c r="M344" i="12"/>
  <c r="N343" i="12"/>
  <c r="M343" i="12"/>
  <c r="N342" i="12"/>
  <c r="M342" i="12"/>
  <c r="N341" i="12"/>
  <c r="M341" i="12"/>
  <c r="N340" i="12"/>
  <c r="M340" i="12"/>
  <c r="N339" i="12"/>
  <c r="M339" i="12"/>
  <c r="N338" i="12"/>
  <c r="M338" i="12"/>
  <c r="N337" i="12"/>
  <c r="M337" i="12"/>
  <c r="N336" i="12"/>
  <c r="M336" i="12"/>
  <c r="N335" i="12"/>
  <c r="M335" i="12"/>
  <c r="N332" i="12"/>
  <c r="M332" i="12"/>
  <c r="N329" i="12"/>
  <c r="M329" i="12"/>
  <c r="N328" i="12"/>
  <c r="M328" i="12"/>
  <c r="N327" i="12"/>
  <c r="M327" i="12"/>
  <c r="N326" i="12"/>
  <c r="M326" i="12"/>
  <c r="N325" i="12"/>
  <c r="M325" i="12"/>
  <c r="O9" i="13"/>
  <c r="N9" i="13"/>
  <c r="O8" i="13"/>
  <c r="N8" i="13"/>
  <c r="H44" i="2"/>
  <c r="N323" i="12"/>
  <c r="M323" i="12"/>
  <c r="N321" i="12"/>
  <c r="M321" i="12"/>
  <c r="N320" i="12"/>
  <c r="M320" i="12"/>
  <c r="N319" i="12"/>
  <c r="M319" i="12"/>
  <c r="N317" i="12"/>
  <c r="M317" i="12"/>
  <c r="N315" i="12"/>
  <c r="M315" i="12"/>
  <c r="N314" i="12"/>
  <c r="M314" i="12"/>
  <c r="N313" i="12"/>
  <c r="M313" i="12"/>
  <c r="N312" i="12"/>
  <c r="M312" i="12"/>
  <c r="N311" i="12"/>
  <c r="M311" i="12"/>
  <c r="N309" i="12"/>
  <c r="M309" i="12"/>
  <c r="N307" i="12"/>
  <c r="M307" i="12"/>
  <c r="N306" i="12"/>
  <c r="M306" i="12"/>
  <c r="N305" i="12"/>
  <c r="M305" i="12"/>
  <c r="N304" i="12"/>
  <c r="M304" i="12"/>
  <c r="N303" i="12"/>
  <c r="M303" i="12"/>
  <c r="N301" i="12"/>
  <c r="M301" i="12"/>
  <c r="N299" i="12"/>
  <c r="M299" i="12"/>
  <c r="N297" i="12"/>
  <c r="M297" i="12"/>
  <c r="N295" i="12"/>
  <c r="M295" i="12"/>
  <c r="N291" i="12"/>
  <c r="M291" i="12"/>
  <c r="N287" i="12"/>
  <c r="M287" i="12"/>
  <c r="N286" i="12"/>
  <c r="M286" i="12"/>
  <c r="N285" i="12"/>
  <c r="M285" i="12"/>
  <c r="N284" i="12"/>
  <c r="M284" i="12"/>
  <c r="N283" i="12"/>
  <c r="M283" i="12"/>
  <c r="N282" i="12"/>
  <c r="M282" i="12"/>
  <c r="N281" i="12"/>
  <c r="M281" i="12"/>
  <c r="N277" i="12"/>
  <c r="M277" i="12"/>
  <c r="N275" i="12"/>
  <c r="M275" i="12"/>
  <c r="N280" i="12"/>
  <c r="M280" i="12"/>
  <c r="N279" i="12"/>
  <c r="M279" i="12"/>
  <c r="N272" i="12"/>
  <c r="M272" i="12"/>
  <c r="N269" i="12"/>
  <c r="M269" i="12"/>
  <c r="N268" i="12"/>
  <c r="M268" i="12"/>
  <c r="N267" i="12"/>
  <c r="M267" i="12"/>
  <c r="N266" i="12"/>
  <c r="M266" i="12"/>
  <c r="N265" i="12"/>
  <c r="M265" i="12"/>
  <c r="N264" i="12"/>
  <c r="M264" i="12"/>
  <c r="N263" i="12"/>
  <c r="M263" i="12"/>
  <c r="N262" i="12"/>
  <c r="M262" i="12"/>
  <c r="N261" i="12"/>
  <c r="M261" i="12"/>
  <c r="N260" i="12"/>
  <c r="M260" i="12"/>
  <c r="N259" i="12"/>
  <c r="M259" i="12"/>
  <c r="O7" i="13"/>
  <c r="N7" i="13"/>
  <c r="O6" i="13"/>
  <c r="N6" i="13"/>
  <c r="N256" i="12"/>
  <c r="M256" i="12"/>
  <c r="H51" i="2"/>
  <c r="N254" i="12"/>
  <c r="M254" i="12"/>
  <c r="N252" i="12"/>
  <c r="M252" i="12"/>
  <c r="G121" i="3"/>
  <c r="G121" i="7"/>
  <c r="N251" i="12" l="1"/>
  <c r="M251" i="12"/>
  <c r="N250" i="12"/>
  <c r="M250" i="12"/>
  <c r="N249" i="12"/>
  <c r="M249" i="12"/>
  <c r="N248" i="12"/>
  <c r="M248" i="12"/>
  <c r="N247" i="12"/>
  <c r="M247" i="12"/>
  <c r="N246" i="12"/>
  <c r="M246" i="12"/>
  <c r="N245" i="12" l="1"/>
  <c r="M245" i="12"/>
  <c r="N244" i="12"/>
  <c r="M244" i="12"/>
  <c r="G28" i="3"/>
  <c r="G28" i="7"/>
  <c r="G131" i="3"/>
  <c r="G131" i="7"/>
  <c r="N243" i="12" l="1"/>
  <c r="M243" i="12"/>
  <c r="N242" i="12"/>
  <c r="M242" i="12"/>
  <c r="N241" i="12"/>
  <c r="M241" i="12"/>
  <c r="N240" i="12"/>
  <c r="M240" i="12"/>
  <c r="N239" i="12"/>
  <c r="M239" i="12"/>
  <c r="N238" i="12"/>
  <c r="M238" i="12"/>
  <c r="N237" i="12"/>
  <c r="M237" i="12"/>
  <c r="N236" i="12"/>
  <c r="M236" i="12"/>
  <c r="N235" i="12"/>
  <c r="M235" i="12"/>
  <c r="N234" i="12"/>
  <c r="M234" i="12"/>
  <c r="N233" i="12"/>
  <c r="M233" i="12"/>
  <c r="N232" i="12"/>
  <c r="M232" i="12"/>
  <c r="N231" i="12"/>
  <c r="M231" i="12"/>
  <c r="N230" i="12"/>
  <c r="M230" i="12"/>
  <c r="N229" i="12"/>
  <c r="M229" i="12"/>
  <c r="N228" i="12"/>
  <c r="M228" i="12"/>
  <c r="N227" i="12"/>
  <c r="M227" i="12"/>
  <c r="N226" i="12"/>
  <c r="M226" i="12"/>
  <c r="N225" i="12"/>
  <c r="M225" i="12"/>
  <c r="N224" i="12"/>
  <c r="M224" i="12"/>
  <c r="N223" i="12"/>
  <c r="M223" i="12"/>
  <c r="N222" i="12"/>
  <c r="M222" i="12"/>
  <c r="N221" i="12"/>
  <c r="M221" i="12"/>
  <c r="N220" i="12"/>
  <c r="M220" i="12"/>
  <c r="N219" i="12"/>
  <c r="M219" i="12"/>
  <c r="N218" i="12"/>
  <c r="M218" i="12"/>
  <c r="N217" i="12"/>
  <c r="M217" i="12"/>
  <c r="N216" i="12"/>
  <c r="M216" i="12"/>
  <c r="N215" i="12"/>
  <c r="M215" i="12"/>
  <c r="N214" i="12"/>
  <c r="M214" i="12"/>
  <c r="N213" i="12"/>
  <c r="M213" i="12"/>
  <c r="N212" i="12"/>
  <c r="M212" i="12"/>
  <c r="N211" i="12"/>
  <c r="M211" i="12"/>
  <c r="N210" i="12"/>
  <c r="M210" i="12"/>
  <c r="N209" i="12"/>
  <c r="M209" i="12"/>
  <c r="N208" i="12"/>
  <c r="M208" i="12"/>
  <c r="N207" i="12"/>
  <c r="M207" i="12"/>
  <c r="N206" i="12"/>
  <c r="M206" i="12"/>
  <c r="M194" i="12"/>
  <c r="N194" i="12"/>
  <c r="M195" i="12"/>
  <c r="N195" i="12"/>
  <c r="M196" i="12"/>
  <c r="N196" i="12"/>
  <c r="M197" i="12"/>
  <c r="N197" i="12"/>
  <c r="M198" i="12"/>
  <c r="N198" i="12"/>
  <c r="M199" i="12"/>
  <c r="N199" i="12"/>
  <c r="M200" i="12"/>
  <c r="N200" i="12"/>
  <c r="M201" i="12"/>
  <c r="N201" i="12"/>
  <c r="M202" i="12"/>
  <c r="N202" i="12"/>
  <c r="M203" i="12"/>
  <c r="N203" i="12"/>
  <c r="M204" i="12"/>
  <c r="N204" i="12"/>
  <c r="M205" i="12"/>
  <c r="N205" i="12"/>
  <c r="N193" i="12"/>
  <c r="M193" i="12"/>
  <c r="N192" i="12"/>
  <c r="M192" i="12"/>
  <c r="N191" i="12"/>
  <c r="M191" i="12"/>
  <c r="N190" i="12"/>
  <c r="M190" i="12"/>
  <c r="N189" i="12"/>
  <c r="M189" i="12"/>
  <c r="N188" i="12"/>
  <c r="M188" i="12"/>
  <c r="N187" i="12"/>
  <c r="M187" i="12"/>
  <c r="N186" i="12"/>
  <c r="M186" i="12"/>
  <c r="N184" i="12"/>
  <c r="M184" i="12"/>
  <c r="N182" i="12"/>
  <c r="M182" i="12"/>
  <c r="N181" i="12"/>
  <c r="M181" i="12"/>
  <c r="N180" i="12"/>
  <c r="M180" i="12"/>
  <c r="N179" i="12"/>
  <c r="M179" i="12"/>
  <c r="N178" i="12"/>
  <c r="M178" i="12"/>
  <c r="N177" i="12"/>
  <c r="M177" i="12"/>
  <c r="N176" i="12"/>
  <c r="M176" i="12"/>
  <c r="N174" i="12"/>
  <c r="M174" i="12"/>
  <c r="N172" i="12"/>
  <c r="M172" i="12"/>
  <c r="N171" i="12"/>
  <c r="M171" i="12"/>
  <c r="N170" i="12"/>
  <c r="M170" i="12"/>
  <c r="N169" i="12"/>
  <c r="M169" i="12"/>
  <c r="N168" i="12"/>
  <c r="M168" i="12"/>
  <c r="N167" i="12"/>
  <c r="M167" i="12"/>
  <c r="N166" i="12"/>
  <c r="M166" i="12"/>
  <c r="N164" i="12"/>
  <c r="M164" i="12"/>
  <c r="N162" i="12"/>
  <c r="M162" i="12"/>
  <c r="N161" i="12"/>
  <c r="M161" i="12"/>
  <c r="N160" i="12"/>
  <c r="M160" i="12"/>
  <c r="N158" i="12"/>
  <c r="M158" i="12"/>
  <c r="N156" i="12"/>
  <c r="M156" i="12"/>
  <c r="N154" i="12"/>
  <c r="M154" i="12"/>
  <c r="N152" i="12"/>
  <c r="M152" i="12"/>
  <c r="N151" i="12"/>
  <c r="M151" i="12"/>
  <c r="N150" i="12"/>
  <c r="M150" i="12"/>
  <c r="N147" i="12"/>
  <c r="M147" i="12"/>
  <c r="N144" i="12"/>
  <c r="M144" i="12"/>
  <c r="N143" i="12"/>
  <c r="M143" i="12"/>
  <c r="N142" i="12"/>
  <c r="M142" i="12"/>
  <c r="N141" i="12"/>
  <c r="M141" i="12"/>
  <c r="N140" i="12"/>
  <c r="M140" i="12"/>
  <c r="N139" i="12"/>
  <c r="M139" i="12"/>
  <c r="N138" i="12"/>
  <c r="M138" i="12"/>
  <c r="N134" i="12"/>
  <c r="M134" i="12"/>
  <c r="N130" i="12"/>
  <c r="M130" i="12"/>
  <c r="N127" i="12"/>
  <c r="M127" i="12"/>
  <c r="N124" i="12"/>
  <c r="M124" i="12"/>
  <c r="N122" i="12"/>
  <c r="M122" i="12"/>
  <c r="N120" i="12"/>
  <c r="M120" i="12"/>
  <c r="G80" i="3"/>
  <c r="G80" i="7"/>
  <c r="N119" i="12"/>
  <c r="M119" i="12"/>
  <c r="N118" i="12"/>
  <c r="M118" i="12"/>
  <c r="G88" i="3"/>
  <c r="G88" i="7"/>
  <c r="N117" i="12"/>
  <c r="M117" i="12"/>
  <c r="N116" i="12"/>
  <c r="M116" i="12"/>
  <c r="G74" i="3"/>
  <c r="G74" i="7"/>
  <c r="N115" i="12" l="1"/>
  <c r="M115" i="12"/>
  <c r="N114" i="12"/>
  <c r="M114" i="12"/>
  <c r="G35" i="7"/>
  <c r="G35" i="3"/>
  <c r="G96" i="3"/>
  <c r="G96" i="7"/>
  <c r="N113" i="12" l="1"/>
  <c r="M113" i="12"/>
  <c r="N112" i="12"/>
  <c r="M112" i="12"/>
  <c r="L52" i="3"/>
  <c r="G68" i="3"/>
  <c r="G68" i="7"/>
  <c r="G54" i="3"/>
  <c r="G54" i="7"/>
  <c r="N111" i="12"/>
  <c r="M111" i="12"/>
  <c r="N110" i="12"/>
  <c r="M110" i="12"/>
  <c r="N109" i="12"/>
  <c r="M109" i="12"/>
  <c r="N108" i="12"/>
  <c r="M108" i="12"/>
  <c r="I106" i="3" l="1"/>
  <c r="I106" i="7"/>
  <c r="I124" i="3"/>
  <c r="I124" i="7"/>
  <c r="N5" i="13"/>
  <c r="O5" i="13"/>
  <c r="O4" i="13"/>
  <c r="N4" i="13"/>
  <c r="N107" i="12" l="1"/>
  <c r="M107" i="12"/>
  <c r="N106" i="12"/>
  <c r="M106" i="12"/>
  <c r="G130" i="3"/>
  <c r="G130" i="7" l="1"/>
  <c r="N102" i="12" l="1"/>
  <c r="M102" i="12"/>
  <c r="N98" i="12"/>
  <c r="M98" i="12"/>
  <c r="M94" i="12"/>
  <c r="N94" i="12"/>
  <c r="N90" i="12"/>
  <c r="M90" i="12"/>
  <c r="N87" i="12"/>
  <c r="M87" i="12"/>
  <c r="N84" i="12"/>
  <c r="M84" i="12"/>
  <c r="M82" i="12"/>
  <c r="N82" i="12"/>
  <c r="N80" i="12"/>
  <c r="M80" i="12"/>
  <c r="M77" i="12"/>
  <c r="N77" i="12"/>
  <c r="N74" i="12"/>
  <c r="M74" i="12"/>
  <c r="N73" i="12"/>
  <c r="M73" i="12"/>
  <c r="N72" i="12"/>
  <c r="M72" i="12"/>
  <c r="N71" i="12" l="1"/>
  <c r="M71" i="12"/>
  <c r="N70" i="12"/>
  <c r="M70" i="12"/>
  <c r="G8" i="3"/>
  <c r="G8" i="7"/>
  <c r="N69" i="12" l="1"/>
  <c r="M69" i="12"/>
  <c r="N68" i="12"/>
  <c r="M68" i="12"/>
  <c r="H50" i="2" l="1"/>
  <c r="N67" i="12"/>
  <c r="M67" i="12"/>
  <c r="N66" i="12"/>
  <c r="M66" i="12"/>
  <c r="H26" i="2"/>
  <c r="N65" i="12" l="1"/>
  <c r="M65" i="12"/>
  <c r="N64" i="12"/>
  <c r="M64" i="12"/>
  <c r="G114" i="3"/>
  <c r="G114" i="7"/>
  <c r="G87" i="3"/>
  <c r="G87" i="7"/>
  <c r="G135" i="3"/>
  <c r="G135" i="7"/>
  <c r="N63" i="12"/>
  <c r="M63" i="12"/>
  <c r="N62" i="12"/>
  <c r="M62" i="12"/>
  <c r="M22" i="12" l="1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2" i="12"/>
  <c r="N52" i="12"/>
  <c r="M53" i="12"/>
  <c r="N53" i="12"/>
  <c r="M54" i="12"/>
  <c r="N54" i="12"/>
  <c r="M55" i="12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5" i="12"/>
  <c r="N5" i="12"/>
  <c r="M6" i="12"/>
  <c r="N6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N4" i="12"/>
  <c r="M4" i="12"/>
  <c r="F61" i="2" l="1"/>
  <c r="F60" i="2"/>
  <c r="F31" i="2"/>
  <c r="F30" i="2"/>
  <c r="O95" i="14" l="1"/>
  <c r="N95" i="14"/>
  <c r="I95" i="14"/>
  <c r="K95" i="14"/>
  <c r="H95" i="14"/>
  <c r="E95" i="14"/>
  <c r="O218" i="14"/>
  <c r="I218" i="14"/>
  <c r="K218" i="14"/>
  <c r="N218" i="14"/>
  <c r="H218" i="14"/>
  <c r="E218" i="14"/>
  <c r="H50" i="3"/>
  <c r="L50" i="3" s="1"/>
  <c r="M218" i="14" s="1"/>
  <c r="H50" i="7"/>
  <c r="H102" i="7"/>
  <c r="L102" i="7" l="1"/>
  <c r="K50" i="7"/>
  <c r="E33" i="8"/>
  <c r="K102" i="7"/>
  <c r="K85" i="8" s="1"/>
  <c r="J218" i="14"/>
  <c r="J95" i="14"/>
  <c r="K50" i="3"/>
  <c r="L50" i="7"/>
  <c r="M95" i="14" s="1"/>
  <c r="O297" i="14"/>
  <c r="I297" i="14"/>
  <c r="K297" i="14"/>
  <c r="H297" i="14"/>
  <c r="E297" i="14"/>
  <c r="O279" i="14"/>
  <c r="I279" i="14"/>
  <c r="K279" i="14"/>
  <c r="H279" i="14"/>
  <c r="E279" i="14"/>
  <c r="I178" i="14"/>
  <c r="K178" i="14"/>
  <c r="I179" i="14"/>
  <c r="K179" i="14"/>
  <c r="I180" i="14"/>
  <c r="K180" i="14"/>
  <c r="I181" i="14"/>
  <c r="K181" i="14"/>
  <c r="I182" i="14"/>
  <c r="K182" i="14"/>
  <c r="I183" i="14"/>
  <c r="K183" i="14"/>
  <c r="H181" i="14"/>
  <c r="H182" i="14"/>
  <c r="H183" i="14"/>
  <c r="H180" i="14"/>
  <c r="O174" i="14"/>
  <c r="I174" i="14"/>
  <c r="K174" i="14"/>
  <c r="H174" i="14"/>
  <c r="E174" i="14"/>
  <c r="I156" i="14"/>
  <c r="K156" i="14"/>
  <c r="H157" i="14"/>
  <c r="H158" i="14"/>
  <c r="H159" i="14"/>
  <c r="H160" i="14"/>
  <c r="H161" i="14"/>
  <c r="H162" i="14"/>
  <c r="H163" i="14"/>
  <c r="H164" i="14"/>
  <c r="H166" i="14"/>
  <c r="H167" i="14"/>
  <c r="H168" i="14"/>
  <c r="H169" i="14"/>
  <c r="H170" i="14"/>
  <c r="H171" i="14"/>
  <c r="H172" i="14"/>
  <c r="H173" i="14"/>
  <c r="H175" i="14"/>
  <c r="H176" i="14"/>
  <c r="H178" i="14"/>
  <c r="H179" i="14"/>
  <c r="H185" i="14"/>
  <c r="H187" i="14"/>
  <c r="H188" i="14"/>
  <c r="H189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5" i="14"/>
  <c r="H277" i="14"/>
  <c r="H278" i="14"/>
  <c r="H280" i="14"/>
  <c r="H281" i="14"/>
  <c r="H282" i="14"/>
  <c r="H283" i="14"/>
  <c r="H284" i="14"/>
  <c r="H285" i="14"/>
  <c r="H286" i="14"/>
  <c r="H287" i="14"/>
  <c r="H289" i="14"/>
  <c r="H290" i="14"/>
  <c r="H291" i="14"/>
  <c r="H292" i="14"/>
  <c r="H293" i="14"/>
  <c r="H294" i="14"/>
  <c r="H295" i="14"/>
  <c r="H296" i="14"/>
  <c r="H298" i="14"/>
  <c r="H299" i="14"/>
  <c r="H156" i="14"/>
  <c r="E156" i="14"/>
  <c r="O50" i="14"/>
  <c r="I50" i="14"/>
  <c r="K50" i="14"/>
  <c r="E50" i="14"/>
  <c r="O26" i="14"/>
  <c r="I26" i="14"/>
  <c r="K26" i="14"/>
  <c r="E26" i="14"/>
  <c r="G61" i="2"/>
  <c r="L61" i="2" s="1"/>
  <c r="M50" i="14" s="1"/>
  <c r="H135" i="3"/>
  <c r="L135" i="3" s="1"/>
  <c r="M297" i="14" s="1"/>
  <c r="H115" i="3"/>
  <c r="H135" i="7"/>
  <c r="H115" i="7"/>
  <c r="E23" i="5" l="1"/>
  <c r="L218" i="14"/>
  <c r="L33" i="8"/>
  <c r="L95" i="14"/>
  <c r="K33" i="8"/>
  <c r="L135" i="7"/>
  <c r="M174" i="14" s="1"/>
  <c r="E41" i="5"/>
  <c r="F41" i="5" s="1"/>
  <c r="K115" i="7"/>
  <c r="L115" i="7"/>
  <c r="M156" i="14" s="1"/>
  <c r="J279" i="14"/>
  <c r="L115" i="3"/>
  <c r="M279" i="14" s="1"/>
  <c r="H50" i="14"/>
  <c r="I61" i="2"/>
  <c r="K115" i="3"/>
  <c r="J297" i="14"/>
  <c r="K135" i="3"/>
  <c r="J156" i="14"/>
  <c r="J174" i="14"/>
  <c r="K135" i="7"/>
  <c r="L156" i="14" l="1"/>
  <c r="K23" i="5"/>
  <c r="L174" i="14"/>
  <c r="K41" i="5"/>
  <c r="L297" i="14"/>
  <c r="L41" i="5"/>
  <c r="L279" i="14"/>
  <c r="L23" i="5"/>
  <c r="J50" i="14"/>
  <c r="K61" i="2"/>
  <c r="L50" i="14" s="1"/>
  <c r="M41" i="5" l="1"/>
  <c r="G31" i="2"/>
  <c r="H26" i="14" s="1"/>
  <c r="I31" i="2" l="1"/>
  <c r="L31" i="2"/>
  <c r="M26" i="14" s="1"/>
  <c r="K31" i="2" l="1"/>
  <c r="L26" i="14" s="1"/>
  <c r="J26" i="14"/>
  <c r="G13" i="9" l="1"/>
  <c r="G12" i="9"/>
  <c r="H12" i="9" l="1"/>
  <c r="I25" i="14" l="1"/>
  <c r="O25" i="14"/>
  <c r="K25" i="14"/>
  <c r="E25" i="14"/>
  <c r="G30" i="2"/>
  <c r="H25" i="14" s="1"/>
  <c r="M25" i="14" l="1"/>
  <c r="I30" i="2"/>
  <c r="K30" i="2" s="1"/>
  <c r="L25" i="14" s="1"/>
  <c r="J25" i="14" l="1"/>
  <c r="G22" i="5" l="1"/>
  <c r="H22" i="5"/>
  <c r="J22" i="5"/>
  <c r="I22" i="5" l="1"/>
  <c r="I107" i="7" l="1"/>
  <c r="G7" i="9" l="1"/>
  <c r="G8" i="9"/>
  <c r="G9" i="9"/>
  <c r="G10" i="9"/>
  <c r="G11" i="9"/>
  <c r="G6" i="9"/>
  <c r="H10" i="9" l="1"/>
  <c r="H6" i="9"/>
  <c r="H8" i="9"/>
  <c r="O270" i="14" l="1"/>
  <c r="O271" i="14"/>
  <c r="O272" i="14"/>
  <c r="I197" i="14"/>
  <c r="K197" i="14"/>
  <c r="N197" i="14"/>
  <c r="I198" i="14"/>
  <c r="K198" i="14"/>
  <c r="N198" i="14"/>
  <c r="I199" i="14"/>
  <c r="K199" i="14"/>
  <c r="N199" i="14"/>
  <c r="I200" i="14"/>
  <c r="K200" i="14"/>
  <c r="N200" i="14"/>
  <c r="K201" i="14"/>
  <c r="N201" i="14"/>
  <c r="I202" i="14"/>
  <c r="K202" i="14"/>
  <c r="N202" i="14"/>
  <c r="K203" i="14"/>
  <c r="N203" i="14"/>
  <c r="K204" i="14"/>
  <c r="N204" i="14"/>
  <c r="I205" i="14"/>
  <c r="K205" i="14"/>
  <c r="N205" i="14"/>
  <c r="I206" i="14"/>
  <c r="K206" i="14"/>
  <c r="N206" i="14"/>
  <c r="I207" i="14"/>
  <c r="K207" i="14"/>
  <c r="N207" i="14"/>
  <c r="I208" i="14"/>
  <c r="K208" i="14"/>
  <c r="N208" i="14"/>
  <c r="I209" i="14"/>
  <c r="K209" i="14"/>
  <c r="N209" i="14"/>
  <c r="I210" i="14"/>
  <c r="K210" i="14"/>
  <c r="N210" i="14"/>
  <c r="I211" i="14"/>
  <c r="K211" i="14"/>
  <c r="N211" i="14"/>
  <c r="I212" i="14"/>
  <c r="K212" i="14"/>
  <c r="N212" i="14"/>
  <c r="I213" i="14"/>
  <c r="K213" i="14"/>
  <c r="N213" i="14"/>
  <c r="I214" i="14"/>
  <c r="K214" i="14"/>
  <c r="N214" i="14"/>
  <c r="I215" i="14"/>
  <c r="K215" i="14"/>
  <c r="N215" i="14"/>
  <c r="I216" i="14"/>
  <c r="K216" i="14"/>
  <c r="N216" i="14"/>
  <c r="I217" i="14"/>
  <c r="K217" i="14"/>
  <c r="N217" i="14"/>
  <c r="I219" i="14"/>
  <c r="K219" i="14"/>
  <c r="N219" i="14"/>
  <c r="I220" i="14"/>
  <c r="K220" i="14"/>
  <c r="N220" i="14"/>
  <c r="I221" i="14"/>
  <c r="K221" i="14"/>
  <c r="N221" i="14"/>
  <c r="I222" i="14"/>
  <c r="K222" i="14"/>
  <c r="N222" i="14"/>
  <c r="I223" i="14"/>
  <c r="K223" i="14"/>
  <c r="N223" i="14"/>
  <c r="I224" i="14"/>
  <c r="K224" i="14"/>
  <c r="N224" i="14"/>
  <c r="I225" i="14"/>
  <c r="K225" i="14"/>
  <c r="N225" i="14"/>
  <c r="I226" i="14"/>
  <c r="K226" i="14"/>
  <c r="N226" i="14"/>
  <c r="K227" i="14"/>
  <c r="N227" i="14"/>
  <c r="I228" i="14"/>
  <c r="K228" i="14"/>
  <c r="N228" i="14"/>
  <c r="I229" i="14"/>
  <c r="K229" i="14"/>
  <c r="N229" i="14"/>
  <c r="I230" i="14"/>
  <c r="K230" i="14"/>
  <c r="N230" i="14"/>
  <c r="I231" i="14"/>
  <c r="K231" i="14"/>
  <c r="N231" i="14"/>
  <c r="I232" i="14"/>
  <c r="K232" i="14"/>
  <c r="N232" i="14"/>
  <c r="I233" i="14"/>
  <c r="K233" i="14"/>
  <c r="N233" i="14"/>
  <c r="I234" i="14"/>
  <c r="K234" i="14"/>
  <c r="N234" i="14"/>
  <c r="I235" i="14"/>
  <c r="K235" i="14"/>
  <c r="N235" i="14"/>
  <c r="I236" i="14"/>
  <c r="K236" i="14"/>
  <c r="N236" i="14"/>
  <c r="K237" i="14"/>
  <c r="N237" i="14"/>
  <c r="I238" i="14"/>
  <c r="K238" i="14"/>
  <c r="N238" i="14"/>
  <c r="I239" i="14"/>
  <c r="K239" i="14"/>
  <c r="N239" i="14"/>
  <c r="I240" i="14"/>
  <c r="K240" i="14"/>
  <c r="N240" i="14"/>
  <c r="I241" i="14"/>
  <c r="K241" i="14"/>
  <c r="N241" i="14"/>
  <c r="K242" i="14"/>
  <c r="N242" i="14"/>
  <c r="I243" i="14"/>
  <c r="K243" i="14"/>
  <c r="N243" i="14"/>
  <c r="I244" i="14"/>
  <c r="K244" i="14"/>
  <c r="N244" i="14"/>
  <c r="I245" i="14"/>
  <c r="K245" i="14"/>
  <c r="N245" i="14"/>
  <c r="I246" i="14"/>
  <c r="K246" i="14"/>
  <c r="N246" i="14"/>
  <c r="I247" i="14"/>
  <c r="K247" i="14"/>
  <c r="N247" i="14"/>
  <c r="K248" i="14"/>
  <c r="N248" i="14"/>
  <c r="I249" i="14"/>
  <c r="K249" i="14"/>
  <c r="N249" i="14"/>
  <c r="I250" i="14"/>
  <c r="K250" i="14"/>
  <c r="N250" i="14"/>
  <c r="I251" i="14"/>
  <c r="K251" i="14"/>
  <c r="N251" i="14"/>
  <c r="I252" i="14"/>
  <c r="K252" i="14"/>
  <c r="N252" i="14"/>
  <c r="I253" i="14"/>
  <c r="K253" i="14"/>
  <c r="N253" i="14"/>
  <c r="I254" i="14"/>
  <c r="K254" i="14"/>
  <c r="N254" i="14"/>
  <c r="I255" i="14"/>
  <c r="K255" i="14"/>
  <c r="N255" i="14"/>
  <c r="K256" i="14"/>
  <c r="N256" i="14"/>
  <c r="I257" i="14"/>
  <c r="K257" i="14"/>
  <c r="N257" i="14"/>
  <c r="K258" i="14"/>
  <c r="N258" i="14"/>
  <c r="I259" i="14"/>
  <c r="K259" i="14"/>
  <c r="N259" i="14"/>
  <c r="I260" i="14"/>
  <c r="K260" i="14"/>
  <c r="N260" i="14"/>
  <c r="I261" i="14"/>
  <c r="K261" i="14"/>
  <c r="N261" i="14"/>
  <c r="I262" i="14"/>
  <c r="K262" i="14"/>
  <c r="N262" i="14"/>
  <c r="I263" i="14"/>
  <c r="K263" i="14"/>
  <c r="N263" i="14"/>
  <c r="K264" i="14"/>
  <c r="N264" i="14"/>
  <c r="K265" i="14"/>
  <c r="N265" i="14"/>
  <c r="I266" i="14"/>
  <c r="K266" i="14"/>
  <c r="N266" i="14"/>
  <c r="I267" i="14"/>
  <c r="K267" i="14"/>
  <c r="N267" i="14"/>
  <c r="I268" i="14"/>
  <c r="K268" i="14"/>
  <c r="N268" i="14"/>
  <c r="K269" i="14"/>
  <c r="N269" i="14"/>
  <c r="I270" i="14"/>
  <c r="K270" i="14"/>
  <c r="N270" i="14"/>
  <c r="I271" i="14"/>
  <c r="K271" i="14"/>
  <c r="N271" i="14"/>
  <c r="I272" i="14"/>
  <c r="K272" i="14"/>
  <c r="N272" i="14"/>
  <c r="I273" i="14"/>
  <c r="K273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O147" i="14"/>
  <c r="O148" i="14"/>
  <c r="O149" i="14"/>
  <c r="O88" i="8"/>
  <c r="N273" i="14" s="1"/>
  <c r="N147" i="14"/>
  <c r="N148" i="14"/>
  <c r="N149" i="14"/>
  <c r="H71" i="14"/>
  <c r="I71" i="14"/>
  <c r="K71" i="14"/>
  <c r="N71" i="14"/>
  <c r="H72" i="14"/>
  <c r="K72" i="14"/>
  <c r="H73" i="14"/>
  <c r="K73" i="14"/>
  <c r="N73" i="14"/>
  <c r="H74" i="14"/>
  <c r="I74" i="14"/>
  <c r="K74" i="14"/>
  <c r="N74" i="14"/>
  <c r="H75" i="14"/>
  <c r="I75" i="14"/>
  <c r="K75" i="14"/>
  <c r="N75" i="14"/>
  <c r="H76" i="14"/>
  <c r="I76" i="14"/>
  <c r="K76" i="14"/>
  <c r="N76" i="14"/>
  <c r="H77" i="14"/>
  <c r="I77" i="14"/>
  <c r="K77" i="14"/>
  <c r="H78" i="14"/>
  <c r="K78" i="14"/>
  <c r="N78" i="14"/>
  <c r="H79" i="14"/>
  <c r="I79" i="14"/>
  <c r="K79" i="14"/>
  <c r="N79" i="14"/>
  <c r="H80" i="14"/>
  <c r="K80" i="14"/>
  <c r="N80" i="14"/>
  <c r="H81" i="14"/>
  <c r="K81" i="14"/>
  <c r="N81" i="14"/>
  <c r="H82" i="14"/>
  <c r="I82" i="14"/>
  <c r="K82" i="14"/>
  <c r="N82" i="14"/>
  <c r="H83" i="14"/>
  <c r="I83" i="14"/>
  <c r="K83" i="14"/>
  <c r="N83" i="14"/>
  <c r="H84" i="14"/>
  <c r="I84" i="14"/>
  <c r="K84" i="14"/>
  <c r="N84" i="14"/>
  <c r="H85" i="14"/>
  <c r="I85" i="14"/>
  <c r="K85" i="14"/>
  <c r="H86" i="14"/>
  <c r="I86" i="14"/>
  <c r="K86" i="14"/>
  <c r="N86" i="14"/>
  <c r="H87" i="14"/>
  <c r="I87" i="14"/>
  <c r="K87" i="14"/>
  <c r="N87" i="14"/>
  <c r="H88" i="14"/>
  <c r="I88" i="14"/>
  <c r="K88" i="14"/>
  <c r="N88" i="14"/>
  <c r="H89" i="14"/>
  <c r="I89" i="14"/>
  <c r="K89" i="14"/>
  <c r="N89" i="14"/>
  <c r="H90" i="14"/>
  <c r="I90" i="14"/>
  <c r="K90" i="14"/>
  <c r="N90" i="14"/>
  <c r="H91" i="14"/>
  <c r="I91" i="14"/>
  <c r="K91" i="14"/>
  <c r="N91" i="14"/>
  <c r="H92" i="14"/>
  <c r="I92" i="14"/>
  <c r="K92" i="14"/>
  <c r="N92" i="14"/>
  <c r="H93" i="14"/>
  <c r="I93" i="14"/>
  <c r="K93" i="14"/>
  <c r="H94" i="14"/>
  <c r="I94" i="14"/>
  <c r="K94" i="14"/>
  <c r="N94" i="14"/>
  <c r="H96" i="14"/>
  <c r="I96" i="14"/>
  <c r="K96" i="14"/>
  <c r="H97" i="14"/>
  <c r="I97" i="14"/>
  <c r="K97" i="14"/>
  <c r="N97" i="14"/>
  <c r="H98" i="14"/>
  <c r="I98" i="14"/>
  <c r="K98" i="14"/>
  <c r="N98" i="14"/>
  <c r="H99" i="14"/>
  <c r="I99" i="14"/>
  <c r="K99" i="14"/>
  <c r="N99" i="14"/>
  <c r="H100" i="14"/>
  <c r="I100" i="14"/>
  <c r="K100" i="14"/>
  <c r="H101" i="14"/>
  <c r="I101" i="14"/>
  <c r="K101" i="14"/>
  <c r="N101" i="14"/>
  <c r="H102" i="14"/>
  <c r="I102" i="14"/>
  <c r="K102" i="14"/>
  <c r="N102" i="14"/>
  <c r="H103" i="14"/>
  <c r="I103" i="14"/>
  <c r="K103" i="14"/>
  <c r="H104" i="14"/>
  <c r="K104" i="14"/>
  <c r="N104" i="14"/>
  <c r="H105" i="14"/>
  <c r="I105" i="14"/>
  <c r="K105" i="14"/>
  <c r="N105" i="14"/>
  <c r="H106" i="14"/>
  <c r="I106" i="14"/>
  <c r="K106" i="14"/>
  <c r="N106" i="14"/>
  <c r="H107" i="14"/>
  <c r="I107" i="14"/>
  <c r="K107" i="14"/>
  <c r="N107" i="14"/>
  <c r="H108" i="14"/>
  <c r="I108" i="14"/>
  <c r="K108" i="14"/>
  <c r="N108" i="14"/>
  <c r="H109" i="14"/>
  <c r="I109" i="14"/>
  <c r="K109" i="14"/>
  <c r="N109" i="14"/>
  <c r="H110" i="14"/>
  <c r="I110" i="14"/>
  <c r="K110" i="14"/>
  <c r="N110" i="14"/>
  <c r="H111" i="14"/>
  <c r="I111" i="14"/>
  <c r="K111" i="14"/>
  <c r="N111" i="14"/>
  <c r="H112" i="14"/>
  <c r="I112" i="14"/>
  <c r="K112" i="14"/>
  <c r="H113" i="14"/>
  <c r="I113" i="14"/>
  <c r="K113" i="14"/>
  <c r="N113" i="14"/>
  <c r="H114" i="14"/>
  <c r="K114" i="14"/>
  <c r="N114" i="14"/>
  <c r="H115" i="14"/>
  <c r="I115" i="14"/>
  <c r="K115" i="14"/>
  <c r="N115" i="14"/>
  <c r="H116" i="14"/>
  <c r="I116" i="14"/>
  <c r="K116" i="14"/>
  <c r="N116" i="14"/>
  <c r="H117" i="14"/>
  <c r="I117" i="14"/>
  <c r="K117" i="14"/>
  <c r="N117" i="14"/>
  <c r="H118" i="14"/>
  <c r="I118" i="14"/>
  <c r="K118" i="14"/>
  <c r="N118" i="14"/>
  <c r="H119" i="14"/>
  <c r="K119" i="14"/>
  <c r="N119" i="14"/>
  <c r="H120" i="14"/>
  <c r="I120" i="14"/>
  <c r="K120" i="14"/>
  <c r="N120" i="14"/>
  <c r="H121" i="14"/>
  <c r="I121" i="14"/>
  <c r="K121" i="14"/>
  <c r="H122" i="14"/>
  <c r="I122" i="14"/>
  <c r="K122" i="14"/>
  <c r="N122" i="14"/>
  <c r="H123" i="14"/>
  <c r="I123" i="14"/>
  <c r="K123" i="14"/>
  <c r="H124" i="14"/>
  <c r="I124" i="14"/>
  <c r="K124" i="14"/>
  <c r="H125" i="14"/>
  <c r="K125" i="14"/>
  <c r="N125" i="14"/>
  <c r="H126" i="14"/>
  <c r="I126" i="14"/>
  <c r="K126" i="14"/>
  <c r="N126" i="14"/>
  <c r="H127" i="14"/>
  <c r="I127" i="14"/>
  <c r="K127" i="14"/>
  <c r="N127" i="14"/>
  <c r="H128" i="14"/>
  <c r="I128" i="14"/>
  <c r="K128" i="14"/>
  <c r="N128" i="14"/>
  <c r="H129" i="14"/>
  <c r="I129" i="14"/>
  <c r="K129" i="14"/>
  <c r="N129" i="14"/>
  <c r="H130" i="14"/>
  <c r="I130" i="14"/>
  <c r="K130" i="14"/>
  <c r="N130" i="14"/>
  <c r="H131" i="14"/>
  <c r="I131" i="14"/>
  <c r="K131" i="14"/>
  <c r="N131" i="14"/>
  <c r="H132" i="14"/>
  <c r="I132" i="14"/>
  <c r="K132" i="14"/>
  <c r="H133" i="14"/>
  <c r="K133" i="14"/>
  <c r="N133" i="14"/>
  <c r="H134" i="14"/>
  <c r="I134" i="14"/>
  <c r="K134" i="14"/>
  <c r="N134" i="14"/>
  <c r="H135" i="14"/>
  <c r="K135" i="14"/>
  <c r="N135" i="14"/>
  <c r="H136" i="14"/>
  <c r="I136" i="14"/>
  <c r="K136" i="14"/>
  <c r="N136" i="14"/>
  <c r="H137" i="14"/>
  <c r="I137" i="14"/>
  <c r="K137" i="14"/>
  <c r="N137" i="14"/>
  <c r="H138" i="14"/>
  <c r="I138" i="14"/>
  <c r="K138" i="14"/>
  <c r="N138" i="14"/>
  <c r="H139" i="14"/>
  <c r="I139" i="14"/>
  <c r="K139" i="14"/>
  <c r="H140" i="14"/>
  <c r="I140" i="14"/>
  <c r="K140" i="14"/>
  <c r="N140" i="14"/>
  <c r="H141" i="14"/>
  <c r="K141" i="14"/>
  <c r="H142" i="14"/>
  <c r="K142" i="14"/>
  <c r="N142" i="14"/>
  <c r="H143" i="14"/>
  <c r="I143" i="14"/>
  <c r="K143" i="14"/>
  <c r="N143" i="14"/>
  <c r="H144" i="14"/>
  <c r="I144" i="14"/>
  <c r="K144" i="14"/>
  <c r="N144" i="14"/>
  <c r="H145" i="14"/>
  <c r="I145" i="14"/>
  <c r="K145" i="14"/>
  <c r="N145" i="14"/>
  <c r="H146" i="14"/>
  <c r="K146" i="14"/>
  <c r="N146" i="14"/>
  <c r="H147" i="14"/>
  <c r="I147" i="14"/>
  <c r="K147" i="14"/>
  <c r="H148" i="14"/>
  <c r="I148" i="14"/>
  <c r="K148" i="14"/>
  <c r="H149" i="14"/>
  <c r="I149" i="14"/>
  <c r="K149" i="14"/>
  <c r="H150" i="14"/>
  <c r="I150" i="14"/>
  <c r="K15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I12" i="8" l="1"/>
  <c r="I10" i="8"/>
  <c r="I58" i="8"/>
  <c r="I74" i="8"/>
  <c r="I32" i="8"/>
  <c r="I20" i="8"/>
  <c r="I79" i="8"/>
  <c r="I21" i="8"/>
  <c r="N150" i="14"/>
  <c r="I51" i="8"/>
  <c r="I43" i="8"/>
  <c r="I39" i="8"/>
  <c r="I42" i="8"/>
  <c r="I77" i="8"/>
  <c r="I36" i="8"/>
  <c r="I23" i="8"/>
  <c r="I70" i="8"/>
  <c r="I28" i="8"/>
  <c r="I64" i="8"/>
  <c r="I48" i="8"/>
  <c r="I63" i="8"/>
  <c r="I45" i="8"/>
  <c r="I33" i="8"/>
  <c r="I87" i="8"/>
  <c r="I31" i="8"/>
  <c r="I88" i="8"/>
  <c r="I47" i="8"/>
  <c r="I75" i="8"/>
  <c r="I49" i="8"/>
  <c r="I24" i="8"/>
  <c r="I54" i="8"/>
  <c r="I44" i="8"/>
  <c r="I17" i="8"/>
  <c r="I55" i="8"/>
  <c r="I78" i="8"/>
  <c r="I34" i="8"/>
  <c r="I83" i="8"/>
  <c r="I56" i="8"/>
  <c r="I25" i="8"/>
  <c r="I76" i="8"/>
  <c r="I69" i="8"/>
  <c r="I30" i="8"/>
  <c r="I13" i="8"/>
  <c r="I71" i="8"/>
  <c r="I59" i="8"/>
  <c r="I52" i="8"/>
  <c r="I26" i="8"/>
  <c r="I11" i="8"/>
  <c r="I72" i="8"/>
  <c r="I53" i="8"/>
  <c r="I46" i="8"/>
  <c r="I35" i="8"/>
  <c r="I27" i="8"/>
  <c r="I73" i="8"/>
  <c r="I82" i="8"/>
  <c r="I50" i="8"/>
  <c r="I38" i="8"/>
  <c r="I84" i="8"/>
  <c r="I62" i="8"/>
  <c r="I37" i="8"/>
  <c r="I22" i="8"/>
  <c r="I68" i="8"/>
  <c r="I60" i="8"/>
  <c r="I29" i="8"/>
  <c r="I16" i="8"/>
  <c r="I41" i="8"/>
  <c r="I40" i="8"/>
  <c r="I15" i="8"/>
  <c r="I14" i="8"/>
  <c r="I57" i="8"/>
  <c r="I81" i="8"/>
  <c r="I80" i="8"/>
  <c r="I67" i="8"/>
  <c r="I66" i="8"/>
  <c r="I65" i="8"/>
  <c r="I61" i="8"/>
  <c r="I86" i="8"/>
  <c r="I85" i="8"/>
  <c r="I19" i="8"/>
  <c r="I18" i="8"/>
  <c r="I258" i="14"/>
  <c r="I135" i="14"/>
  <c r="I269" i="14"/>
  <c r="I146" i="14"/>
  <c r="I248" i="14"/>
  <c r="I125" i="14"/>
  <c r="I203" i="14" l="1"/>
  <c r="I80" i="14"/>
  <c r="I227" i="14"/>
  <c r="I104" i="14"/>
  <c r="I73" i="14"/>
  <c r="I264" i="14" l="1"/>
  <c r="I141" i="14"/>
  <c r="I256" i="14"/>
  <c r="I133" i="14"/>
  <c r="I201" i="14" l="1"/>
  <c r="I78" i="14"/>
  <c r="I72" i="14"/>
  <c r="I204" i="14"/>
  <c r="I81" i="14"/>
  <c r="I237" i="14" l="1"/>
  <c r="I114" i="14"/>
  <c r="I265" i="14"/>
  <c r="I142" i="14"/>
  <c r="I242" i="14"/>
  <c r="I119" i="14"/>
  <c r="H33" i="2" l="1"/>
  <c r="H101" i="3" l="1"/>
  <c r="H102" i="3"/>
  <c r="H103" i="3"/>
  <c r="K102" i="3" l="1"/>
  <c r="L85" i="8" s="1"/>
  <c r="E85" i="8"/>
  <c r="L102" i="3"/>
  <c r="M270" i="14" s="1"/>
  <c r="J270" i="14"/>
  <c r="L103" i="3"/>
  <c r="M271" i="14" s="1"/>
  <c r="J271" i="14"/>
  <c r="K103" i="3"/>
  <c r="K101" i="3"/>
  <c r="J269" i="14"/>
  <c r="L101" i="3"/>
  <c r="M269" i="14" s="1"/>
  <c r="H74" i="7"/>
  <c r="H72" i="7"/>
  <c r="H63" i="7"/>
  <c r="H33" i="7"/>
  <c r="L270" i="14" l="1"/>
  <c r="K33" i="7"/>
  <c r="K16" i="8" s="1"/>
  <c r="K63" i="7"/>
  <c r="K46" i="8" s="1"/>
  <c r="L271" i="14"/>
  <c r="L86" i="8"/>
  <c r="K74" i="7"/>
  <c r="K57" i="8" s="1"/>
  <c r="L269" i="14"/>
  <c r="L84" i="8"/>
  <c r="L72" i="7"/>
  <c r="M117" i="14" s="1"/>
  <c r="K72" i="7"/>
  <c r="K55" i="8" s="1"/>
  <c r="J108" i="14"/>
  <c r="J78" i="14"/>
  <c r="L63" i="7"/>
  <c r="M108" i="14" s="1"/>
  <c r="J117" i="14"/>
  <c r="L74" i="7"/>
  <c r="M119" i="14" s="1"/>
  <c r="J119" i="14"/>
  <c r="L33" i="7"/>
  <c r="M78" i="14" s="1"/>
  <c r="L117" i="14" l="1"/>
  <c r="L119" i="14"/>
  <c r="L78" i="14"/>
  <c r="L108" i="14"/>
  <c r="E155" i="14"/>
  <c r="C3" i="3" l="1"/>
  <c r="C3" i="7"/>
  <c r="C3" i="2"/>
  <c r="E215" i="2" l="1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152" i="2"/>
  <c r="F65" i="2"/>
  <c r="E14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28" i="2"/>
  <c r="F127" i="2"/>
  <c r="F126" i="2"/>
  <c r="F125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71" i="2"/>
  <c r="F215" i="2" l="1"/>
  <c r="F147" i="2"/>
  <c r="E287" i="14"/>
  <c r="E275" i="14"/>
  <c r="I164" i="14"/>
  <c r="E59" i="14"/>
  <c r="E58" i="14"/>
  <c r="E57" i="14"/>
  <c r="F21" i="7"/>
  <c r="I21" i="7" l="1"/>
  <c r="G21" i="7"/>
  <c r="G13" i="7"/>
  <c r="G107" i="7"/>
  <c r="F107" i="7"/>
  <c r="I139" i="7" l="1"/>
  <c r="H138" i="7"/>
  <c r="G139" i="7"/>
  <c r="L138" i="7" l="1"/>
  <c r="K138" i="7"/>
  <c r="O53" i="14" l="1"/>
  <c r="I52" i="14"/>
  <c r="K52" i="14"/>
  <c r="I53" i="14"/>
  <c r="K53" i="14"/>
  <c r="E52" i="14"/>
  <c r="E53" i="14"/>
  <c r="G63" i="2"/>
  <c r="L63" i="2" s="1"/>
  <c r="M52" i="14" s="1"/>
  <c r="I27" i="14"/>
  <c r="K27" i="14"/>
  <c r="E27" i="14"/>
  <c r="G32" i="2"/>
  <c r="O27" i="14"/>
  <c r="O52" i="14"/>
  <c r="I51" i="14"/>
  <c r="K51" i="14"/>
  <c r="E51" i="14"/>
  <c r="G62" i="2"/>
  <c r="L62" i="2" s="1"/>
  <c r="I32" i="2" l="1"/>
  <c r="I62" i="2"/>
  <c r="K62" i="2" s="1"/>
  <c r="L51" i="14" s="1"/>
  <c r="M51" i="14"/>
  <c r="H51" i="14"/>
  <c r="H52" i="14"/>
  <c r="I63" i="2"/>
  <c r="H27" i="14"/>
  <c r="K32" i="2" l="1"/>
  <c r="L27" i="14" s="1"/>
  <c r="L32" i="2"/>
  <c r="M27" i="14" s="1"/>
  <c r="J27" i="14"/>
  <c r="J51" i="14"/>
  <c r="K63" i="2"/>
  <c r="L52" i="14" s="1"/>
  <c r="J52" i="14"/>
  <c r="I110" i="7" l="1"/>
  <c r="I110" i="3"/>
  <c r="N275" i="14" l="1"/>
  <c r="N152" i="14"/>
  <c r="I13" i="3" l="1"/>
  <c r="I16" i="3"/>
  <c r="I21" i="3"/>
  <c r="G13" i="3" l="1"/>
  <c r="F27" i="1" s="1"/>
  <c r="G107" i="3"/>
  <c r="G111" i="3"/>
  <c r="O24" i="14" l="1"/>
  <c r="O23" i="14"/>
  <c r="I23" i="14"/>
  <c r="K23" i="14"/>
  <c r="I24" i="14"/>
  <c r="K24" i="14"/>
  <c r="E23" i="14"/>
  <c r="E24" i="14"/>
  <c r="J33" i="2" l="1"/>
  <c r="H18" i="1" s="1"/>
  <c r="G29" i="2"/>
  <c r="L29" i="2" s="1"/>
  <c r="M24" i="14" s="1"/>
  <c r="I29" i="2" l="1"/>
  <c r="K29" i="2" s="1"/>
  <c r="L24" i="14" s="1"/>
  <c r="H24" i="14"/>
  <c r="G28" i="2"/>
  <c r="L28" i="2" s="1"/>
  <c r="M23" i="14" s="1"/>
  <c r="H65" i="2"/>
  <c r="J24" i="14" l="1"/>
  <c r="I28" i="2"/>
  <c r="J23" i="14" s="1"/>
  <c r="H23" i="14"/>
  <c r="K28" i="2" l="1"/>
  <c r="L23" i="14" s="1"/>
  <c r="G138" i="3" l="1"/>
  <c r="H35" i="1" l="1"/>
  <c r="H33" i="1"/>
  <c r="H31" i="1"/>
  <c r="F35" i="1"/>
  <c r="G35" i="1" s="1"/>
  <c r="F33" i="1"/>
  <c r="G33" i="1" s="1"/>
  <c r="J125" i="3"/>
  <c r="I125" i="3"/>
  <c r="H34" i="1" s="1"/>
  <c r="G125" i="3"/>
  <c r="F34" i="1" s="1"/>
  <c r="F125" i="3"/>
  <c r="H288" i="14" s="1"/>
  <c r="J111" i="3"/>
  <c r="I111" i="3"/>
  <c r="H32" i="1" s="1"/>
  <c r="F32" i="1"/>
  <c r="F111" i="3"/>
  <c r="H276" i="14" s="1"/>
  <c r="J107" i="3"/>
  <c r="I107" i="3"/>
  <c r="H30" i="1" s="1"/>
  <c r="F30" i="1"/>
  <c r="F107" i="3"/>
  <c r="H274" i="14" s="1"/>
  <c r="F31" i="1"/>
  <c r="I125" i="7"/>
  <c r="H14" i="1" s="1"/>
  <c r="G125" i="7"/>
  <c r="F14" i="1" s="1"/>
  <c r="F125" i="7"/>
  <c r="H165" i="14" s="1"/>
  <c r="H15" i="1"/>
  <c r="H13" i="1"/>
  <c r="F15" i="1"/>
  <c r="G15" i="1" s="1"/>
  <c r="F13" i="1"/>
  <c r="G13" i="1" s="1"/>
  <c r="I111" i="7"/>
  <c r="H12" i="1" s="1"/>
  <c r="G111" i="7"/>
  <c r="F12" i="1" s="1"/>
  <c r="F111" i="7"/>
  <c r="H11" i="1"/>
  <c r="F11" i="1"/>
  <c r="G11" i="1" s="1"/>
  <c r="H10" i="1"/>
  <c r="F10" i="1"/>
  <c r="G31" i="1" l="1"/>
  <c r="J31" i="1" s="1"/>
  <c r="I33" i="1"/>
  <c r="H125" i="7"/>
  <c r="J33" i="1"/>
  <c r="I35" i="1"/>
  <c r="J35" i="1"/>
  <c r="I15" i="1"/>
  <c r="J15" i="1"/>
  <c r="I13" i="1"/>
  <c r="J13" i="1"/>
  <c r="J11" i="1"/>
  <c r="I11" i="1"/>
  <c r="O222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143" i="14"/>
  <c r="O144" i="14"/>
  <c r="O128" i="14"/>
  <c r="O129" i="14"/>
  <c r="O130" i="14"/>
  <c r="O131" i="14"/>
  <c r="O99" i="14"/>
  <c r="E191" i="14"/>
  <c r="E192" i="14"/>
  <c r="E193" i="14"/>
  <c r="E194" i="14"/>
  <c r="E195" i="14"/>
  <c r="E274" i="14"/>
  <c r="G64" i="2"/>
  <c r="H53" i="14" s="1"/>
  <c r="G60" i="2"/>
  <c r="G59" i="2"/>
  <c r="G56" i="2"/>
  <c r="G54" i="2"/>
  <c r="G51" i="2"/>
  <c r="G48" i="2"/>
  <c r="G47" i="2"/>
  <c r="G46" i="2"/>
  <c r="G45" i="2"/>
  <c r="G41" i="2"/>
  <c r="G40" i="2"/>
  <c r="G58" i="2"/>
  <c r="G57" i="2"/>
  <c r="G55" i="2"/>
  <c r="G53" i="2"/>
  <c r="G52" i="2"/>
  <c r="G50" i="2"/>
  <c r="G49" i="2"/>
  <c r="G44" i="2"/>
  <c r="G43" i="2"/>
  <c r="I31" i="1" l="1"/>
  <c r="F33" i="2"/>
  <c r="G33" i="2" s="1"/>
  <c r="E18" i="1" s="1"/>
  <c r="G42" i="2"/>
  <c r="G65" i="2" s="1"/>
  <c r="E38" i="1" s="1"/>
  <c r="I33" i="2" l="1"/>
  <c r="L33" i="2"/>
  <c r="H99" i="3"/>
  <c r="J267" i="14" s="1"/>
  <c r="H98" i="3"/>
  <c r="J266" i="14" s="1"/>
  <c r="H83" i="3"/>
  <c r="J251" i="14" s="1"/>
  <c r="H54" i="3"/>
  <c r="H87" i="7"/>
  <c r="H55" i="7"/>
  <c r="K87" i="7" l="1"/>
  <c r="K70" i="8" s="1"/>
  <c r="K55" i="7"/>
  <c r="K38" i="8" s="1"/>
  <c r="L54" i="3"/>
  <c r="M222" i="14" s="1"/>
  <c r="J222" i="14"/>
  <c r="J132" i="14"/>
  <c r="J147" i="14"/>
  <c r="J100" i="14"/>
  <c r="L87" i="7"/>
  <c r="M132" i="14" s="1"/>
  <c r="K98" i="3"/>
  <c r="L81" i="8" s="1"/>
  <c r="K99" i="3"/>
  <c r="L82" i="8" s="1"/>
  <c r="K54" i="3"/>
  <c r="L37" i="8" s="1"/>
  <c r="M147" i="14"/>
  <c r="K83" i="3"/>
  <c r="L66" i="8" s="1"/>
  <c r="L99" i="3"/>
  <c r="M267" i="14" s="1"/>
  <c r="L98" i="3"/>
  <c r="M266" i="14" s="1"/>
  <c r="L83" i="3"/>
  <c r="M251" i="14" s="1"/>
  <c r="L55" i="7"/>
  <c r="M100" i="14" s="1"/>
  <c r="F13" i="3"/>
  <c r="L132" i="14" l="1"/>
  <c r="E27" i="1"/>
  <c r="H184" i="14"/>
  <c r="L147" i="14"/>
  <c r="F85" i="8"/>
  <c r="P85" i="8"/>
  <c r="L222" i="14"/>
  <c r="L251" i="14"/>
  <c r="L267" i="14"/>
  <c r="L266" i="14"/>
  <c r="N85" i="8"/>
  <c r="Q85" i="8" s="1"/>
  <c r="M85" i="8"/>
  <c r="L100" i="14"/>
  <c r="H109" i="7" l="1"/>
  <c r="H110" i="7"/>
  <c r="H113" i="7"/>
  <c r="H114" i="7"/>
  <c r="H116" i="7"/>
  <c r="H117" i="7"/>
  <c r="H118" i="7"/>
  <c r="H119" i="7"/>
  <c r="H120" i="7"/>
  <c r="H121" i="7"/>
  <c r="H122" i="7"/>
  <c r="H123" i="7"/>
  <c r="H124" i="7"/>
  <c r="O23" i="5" l="1"/>
  <c r="O31" i="5" l="1"/>
  <c r="O26" i="5"/>
  <c r="J21" i="1" l="1"/>
  <c r="O21" i="14" l="1"/>
  <c r="I21" i="14"/>
  <c r="K21" i="14"/>
  <c r="E21" i="14"/>
  <c r="G26" i="2"/>
  <c r="I26" i="2" s="1"/>
  <c r="H21" i="14" l="1"/>
  <c r="K26" i="2"/>
  <c r="L21" i="14" s="1"/>
  <c r="J21" i="14"/>
  <c r="L26" i="2"/>
  <c r="M21" i="14" s="1"/>
  <c r="O39" i="5" l="1"/>
  <c r="H85" i="3" l="1"/>
  <c r="J253" i="14" s="1"/>
  <c r="I46" i="14"/>
  <c r="I33" i="14"/>
  <c r="I42" i="14"/>
  <c r="I32" i="14"/>
  <c r="I45" i="14"/>
  <c r="N124" i="14"/>
  <c r="N100" i="14"/>
  <c r="L19" i="3"/>
  <c r="M188" i="14" s="1"/>
  <c r="I49" i="14"/>
  <c r="H25" i="7"/>
  <c r="H25" i="3"/>
  <c r="J193" i="14" s="1"/>
  <c r="H90" i="7"/>
  <c r="H86" i="3"/>
  <c r="J254" i="14" s="1"/>
  <c r="J158" i="14"/>
  <c r="J162" i="14"/>
  <c r="L113" i="7"/>
  <c r="M154" i="14" s="1"/>
  <c r="O51" i="14"/>
  <c r="J65" i="2"/>
  <c r="O22" i="14"/>
  <c r="K22" i="14"/>
  <c r="E22" i="14"/>
  <c r="I22" i="14"/>
  <c r="G27" i="2"/>
  <c r="I15" i="14"/>
  <c r="N194" i="14"/>
  <c r="N196" i="14"/>
  <c r="N193" i="14"/>
  <c r="N70" i="14"/>
  <c r="O20" i="14"/>
  <c r="K20" i="14"/>
  <c r="E20" i="14"/>
  <c r="G25" i="2"/>
  <c r="H20" i="14" s="1"/>
  <c r="I19" i="14"/>
  <c r="O19" i="14"/>
  <c r="K19" i="14"/>
  <c r="E19" i="14"/>
  <c r="G24" i="2"/>
  <c r="H19" i="14" s="1"/>
  <c r="N77" i="14"/>
  <c r="L18" i="3"/>
  <c r="M187" i="14" s="1"/>
  <c r="I18" i="14"/>
  <c r="O18" i="14"/>
  <c r="K18" i="14"/>
  <c r="E18" i="14"/>
  <c r="G23" i="2"/>
  <c r="H18" i="14" s="1"/>
  <c r="N72" i="14"/>
  <c r="N96" i="14"/>
  <c r="L79" i="3"/>
  <c r="M247" i="14" s="1"/>
  <c r="L83" i="7"/>
  <c r="M128" i="14" s="1"/>
  <c r="L133" i="3"/>
  <c r="M295" i="14" s="1"/>
  <c r="L133" i="7"/>
  <c r="M172" i="14" s="1"/>
  <c r="L67" i="3"/>
  <c r="M235" i="14" s="1"/>
  <c r="L69" i="7"/>
  <c r="M114" i="14" s="1"/>
  <c r="L8" i="3"/>
  <c r="M179" i="14" s="1"/>
  <c r="L8" i="7"/>
  <c r="M56" i="14" s="1"/>
  <c r="N192" i="14"/>
  <c r="N69" i="14"/>
  <c r="L94" i="3"/>
  <c r="M262" i="14" s="1"/>
  <c r="L98" i="7"/>
  <c r="M143" i="14" s="1"/>
  <c r="N85" i="14"/>
  <c r="L27" i="3"/>
  <c r="M195" i="14" s="1"/>
  <c r="L27" i="7"/>
  <c r="M72" i="14" s="1"/>
  <c r="N191" i="14"/>
  <c r="N68" i="14"/>
  <c r="L19" i="7"/>
  <c r="M65" i="14" s="1"/>
  <c r="L51" i="3"/>
  <c r="M219" i="14" s="1"/>
  <c r="L52" i="7"/>
  <c r="M97" i="14" s="1"/>
  <c r="O91" i="14"/>
  <c r="H69" i="14"/>
  <c r="I69" i="14"/>
  <c r="K69" i="14"/>
  <c r="H70" i="14"/>
  <c r="I70" i="14"/>
  <c r="K70" i="14"/>
  <c r="E69" i="14"/>
  <c r="E70" i="14"/>
  <c r="H73" i="7"/>
  <c r="H49" i="7"/>
  <c r="H37" i="7"/>
  <c r="H38" i="7"/>
  <c r="G13" i="2"/>
  <c r="I52" i="2"/>
  <c r="J41" i="14" s="1"/>
  <c r="H46" i="14"/>
  <c r="H39" i="14"/>
  <c r="O7" i="14"/>
  <c r="O8" i="14"/>
  <c r="I7" i="14"/>
  <c r="K7" i="14"/>
  <c r="I8" i="14"/>
  <c r="K8" i="14"/>
  <c r="E7" i="14"/>
  <c r="E8" i="14"/>
  <c r="G12" i="2"/>
  <c r="O6" i="14"/>
  <c r="K6" i="14"/>
  <c r="E6" i="14"/>
  <c r="G11" i="2"/>
  <c r="H6" i="14" s="1"/>
  <c r="G9" i="5"/>
  <c r="H9" i="5"/>
  <c r="J9" i="5"/>
  <c r="G10" i="5"/>
  <c r="H10" i="5"/>
  <c r="J10" i="5"/>
  <c r="N180" i="14"/>
  <c r="O180" i="14"/>
  <c r="N181" i="14"/>
  <c r="O181" i="14"/>
  <c r="E180" i="14"/>
  <c r="E181" i="14"/>
  <c r="H58" i="14"/>
  <c r="I58" i="14"/>
  <c r="K58" i="14"/>
  <c r="N58" i="14"/>
  <c r="O58" i="14"/>
  <c r="H59" i="14"/>
  <c r="I59" i="14"/>
  <c r="K59" i="14"/>
  <c r="N59" i="14"/>
  <c r="O59" i="14"/>
  <c r="H10" i="3"/>
  <c r="J181" i="14" s="1"/>
  <c r="H11" i="3"/>
  <c r="H10" i="7"/>
  <c r="H11" i="7"/>
  <c r="O268" i="14"/>
  <c r="O205" i="14"/>
  <c r="O145" i="14"/>
  <c r="O82" i="14"/>
  <c r="H100" i="3"/>
  <c r="H103" i="7"/>
  <c r="H37" i="3"/>
  <c r="J205" i="14" s="1"/>
  <c r="H40" i="7"/>
  <c r="O3" i="14"/>
  <c r="O4" i="14"/>
  <c r="O5" i="14"/>
  <c r="O9" i="14"/>
  <c r="O10" i="14"/>
  <c r="O11" i="14"/>
  <c r="O12" i="14"/>
  <c r="O13" i="14"/>
  <c r="O14" i="14"/>
  <c r="O15" i="14"/>
  <c r="O16" i="14"/>
  <c r="O1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4" i="14"/>
  <c r="O55" i="14"/>
  <c r="O56" i="14"/>
  <c r="O57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3" i="14"/>
  <c r="O84" i="14"/>
  <c r="O85" i="14"/>
  <c r="O86" i="14"/>
  <c r="O87" i="14"/>
  <c r="O88" i="14"/>
  <c r="O89" i="14"/>
  <c r="O90" i="14"/>
  <c r="O92" i="14"/>
  <c r="O93" i="14"/>
  <c r="O94" i="14"/>
  <c r="O96" i="14"/>
  <c r="O97" i="14"/>
  <c r="O98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32" i="14"/>
  <c r="O133" i="14"/>
  <c r="O134" i="14"/>
  <c r="O135" i="14"/>
  <c r="O136" i="14"/>
  <c r="O137" i="14"/>
  <c r="O138" i="14"/>
  <c r="O139" i="14"/>
  <c r="O140" i="14"/>
  <c r="O141" i="14"/>
  <c r="O142" i="14"/>
  <c r="O146" i="14"/>
  <c r="O150" i="14"/>
  <c r="O151" i="14"/>
  <c r="O152" i="14"/>
  <c r="O153" i="14"/>
  <c r="O154" i="14"/>
  <c r="O155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5" i="14"/>
  <c r="O176" i="14"/>
  <c r="O177" i="14"/>
  <c r="O178" i="14"/>
  <c r="O179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9" i="14"/>
  <c r="O220" i="14"/>
  <c r="O221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69" i="14"/>
  <c r="O273" i="14"/>
  <c r="O274" i="14"/>
  <c r="O275" i="14"/>
  <c r="O276" i="14"/>
  <c r="O277" i="14"/>
  <c r="O278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8" i="14"/>
  <c r="O299" i="14"/>
  <c r="O300" i="14"/>
  <c r="O2" i="14"/>
  <c r="H16" i="1"/>
  <c r="N55" i="14"/>
  <c r="N56" i="14"/>
  <c r="N57" i="14"/>
  <c r="N60" i="14"/>
  <c r="N61" i="14"/>
  <c r="N62" i="14"/>
  <c r="N63" i="14"/>
  <c r="N64" i="14"/>
  <c r="N65" i="14"/>
  <c r="N66" i="14"/>
  <c r="N67" i="14"/>
  <c r="N151" i="14"/>
  <c r="N153" i="14"/>
  <c r="N154" i="14"/>
  <c r="N155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5" i="14"/>
  <c r="N176" i="14"/>
  <c r="N177" i="14"/>
  <c r="N178" i="14"/>
  <c r="N179" i="14"/>
  <c r="N182" i="14"/>
  <c r="N183" i="14"/>
  <c r="N184" i="14"/>
  <c r="N185" i="14"/>
  <c r="N186" i="14"/>
  <c r="N187" i="14"/>
  <c r="N188" i="14"/>
  <c r="N189" i="14"/>
  <c r="N190" i="14"/>
  <c r="N274" i="14"/>
  <c r="N276" i="14"/>
  <c r="N277" i="14"/>
  <c r="N278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8" i="14"/>
  <c r="N299" i="14"/>
  <c r="N300" i="14"/>
  <c r="K289" i="14"/>
  <c r="K290" i="14"/>
  <c r="K291" i="14"/>
  <c r="K292" i="14"/>
  <c r="K293" i="14"/>
  <c r="I294" i="14"/>
  <c r="K294" i="14"/>
  <c r="K295" i="14"/>
  <c r="I296" i="14"/>
  <c r="K296" i="14"/>
  <c r="I298" i="14"/>
  <c r="K298" i="14"/>
  <c r="I299" i="14"/>
  <c r="K299" i="14"/>
  <c r="E300" i="14"/>
  <c r="E299" i="14"/>
  <c r="E298" i="14"/>
  <c r="E290" i="14"/>
  <c r="E291" i="14"/>
  <c r="E292" i="14"/>
  <c r="E293" i="14"/>
  <c r="E294" i="14"/>
  <c r="E295" i="14"/>
  <c r="E296" i="14"/>
  <c r="E289" i="14"/>
  <c r="E288" i="14"/>
  <c r="I277" i="14"/>
  <c r="K277" i="14"/>
  <c r="I278" i="14"/>
  <c r="K278" i="14"/>
  <c r="I280" i="14"/>
  <c r="K280" i="14"/>
  <c r="I281" i="14"/>
  <c r="K281" i="14"/>
  <c r="I282" i="14"/>
  <c r="K282" i="14"/>
  <c r="I283" i="14"/>
  <c r="K283" i="14"/>
  <c r="I284" i="14"/>
  <c r="K284" i="14"/>
  <c r="K285" i="14"/>
  <c r="I286" i="14"/>
  <c r="K286" i="14"/>
  <c r="I287" i="14"/>
  <c r="K287" i="14"/>
  <c r="E286" i="14"/>
  <c r="E285" i="14"/>
  <c r="E278" i="14"/>
  <c r="E280" i="14"/>
  <c r="E281" i="14"/>
  <c r="E282" i="14"/>
  <c r="E283" i="14"/>
  <c r="E284" i="14"/>
  <c r="E277" i="14"/>
  <c r="K275" i="14"/>
  <c r="E276" i="14"/>
  <c r="K191" i="14"/>
  <c r="K192" i="14"/>
  <c r="K193" i="14"/>
  <c r="K194" i="14"/>
  <c r="K195" i="14"/>
  <c r="K196" i="14"/>
  <c r="I193" i="14"/>
  <c r="I195" i="14"/>
  <c r="I196" i="14"/>
  <c r="I187" i="14"/>
  <c r="K187" i="14"/>
  <c r="K188" i="14"/>
  <c r="I189" i="14"/>
  <c r="K189" i="14"/>
  <c r="E188" i="14"/>
  <c r="E189" i="14"/>
  <c r="E190" i="14"/>
  <c r="E187" i="14"/>
  <c r="I185" i="14"/>
  <c r="K185" i="14"/>
  <c r="E186" i="14"/>
  <c r="E185" i="14"/>
  <c r="E179" i="14"/>
  <c r="E182" i="14"/>
  <c r="E183" i="14"/>
  <c r="E184" i="14"/>
  <c r="E178" i="14"/>
  <c r="K166" i="14"/>
  <c r="K167" i="14"/>
  <c r="K168" i="14"/>
  <c r="K169" i="14"/>
  <c r="K170" i="14"/>
  <c r="K171" i="14"/>
  <c r="K172" i="14"/>
  <c r="K173" i="14"/>
  <c r="K175" i="14"/>
  <c r="K176" i="14"/>
  <c r="I171" i="14"/>
  <c r="I173" i="14"/>
  <c r="I176" i="14"/>
  <c r="E177" i="14"/>
  <c r="E175" i="14"/>
  <c r="E176" i="14"/>
  <c r="E167" i="14"/>
  <c r="E168" i="14"/>
  <c r="E169" i="14"/>
  <c r="E170" i="14"/>
  <c r="E171" i="14"/>
  <c r="E172" i="14"/>
  <c r="E173" i="14"/>
  <c r="E166" i="14"/>
  <c r="E165" i="14"/>
  <c r="I154" i="14"/>
  <c r="K154" i="14"/>
  <c r="I155" i="14"/>
  <c r="K155" i="14"/>
  <c r="I157" i="14"/>
  <c r="K157" i="14"/>
  <c r="I158" i="14"/>
  <c r="K158" i="14"/>
  <c r="I159" i="14"/>
  <c r="K159" i="14"/>
  <c r="I160" i="14"/>
  <c r="K160" i="14"/>
  <c r="I161" i="14"/>
  <c r="K161" i="14"/>
  <c r="K162" i="14"/>
  <c r="I163" i="14"/>
  <c r="K163" i="14"/>
  <c r="K164" i="14"/>
  <c r="H155" i="14"/>
  <c r="H154" i="14"/>
  <c r="E164" i="14"/>
  <c r="E163" i="14"/>
  <c r="E157" i="14"/>
  <c r="E158" i="14"/>
  <c r="E159" i="14"/>
  <c r="E160" i="14"/>
  <c r="E161" i="14"/>
  <c r="E162" i="14"/>
  <c r="E154" i="14"/>
  <c r="I152" i="14"/>
  <c r="K152" i="14"/>
  <c r="H152" i="14"/>
  <c r="E153" i="14"/>
  <c r="E152" i="14"/>
  <c r="E151" i="14"/>
  <c r="K68" i="14"/>
  <c r="I68" i="14"/>
  <c r="H68" i="14"/>
  <c r="E68" i="14"/>
  <c r="K64" i="14"/>
  <c r="K65" i="14"/>
  <c r="K66" i="14"/>
  <c r="I64" i="14"/>
  <c r="I66" i="14"/>
  <c r="H65" i="14"/>
  <c r="H66" i="14"/>
  <c r="H64" i="14"/>
  <c r="K62" i="14"/>
  <c r="I62" i="14"/>
  <c r="H62" i="14"/>
  <c r="K55" i="14"/>
  <c r="K56" i="14"/>
  <c r="K57" i="14"/>
  <c r="K60" i="14"/>
  <c r="I56" i="14"/>
  <c r="I57" i="14"/>
  <c r="I60" i="14"/>
  <c r="H56" i="14"/>
  <c r="H57" i="14"/>
  <c r="H60" i="14"/>
  <c r="H55" i="14"/>
  <c r="E65" i="14"/>
  <c r="E66" i="14"/>
  <c r="E67" i="14"/>
  <c r="E64" i="14"/>
  <c r="E63" i="14"/>
  <c r="E62" i="14"/>
  <c r="E61" i="14"/>
  <c r="I275" i="14"/>
  <c r="J138" i="3"/>
  <c r="I138" i="3"/>
  <c r="F138" i="3"/>
  <c r="H300" i="14" s="1"/>
  <c r="K288" i="14"/>
  <c r="E34" i="1"/>
  <c r="F21" i="3"/>
  <c r="H190" i="14" s="1"/>
  <c r="J16" i="3"/>
  <c r="H28" i="1"/>
  <c r="G16" i="3"/>
  <c r="F16" i="3"/>
  <c r="H186" i="14" s="1"/>
  <c r="J13" i="3"/>
  <c r="F139" i="7"/>
  <c r="H177" i="14" s="1"/>
  <c r="J111" i="7"/>
  <c r="K153" i="14"/>
  <c r="H9" i="1"/>
  <c r="E14" i="1"/>
  <c r="J16" i="7"/>
  <c r="I16" i="7"/>
  <c r="H8" i="1" s="1"/>
  <c r="G16" i="7"/>
  <c r="F16" i="7"/>
  <c r="E8" i="1" s="1"/>
  <c r="J13" i="7"/>
  <c r="I13" i="7"/>
  <c r="F13" i="7"/>
  <c r="E56" i="14"/>
  <c r="E60" i="14"/>
  <c r="E55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29" i="14"/>
  <c r="I31" i="14"/>
  <c r="I35" i="14"/>
  <c r="I39" i="14"/>
  <c r="I40" i="14"/>
  <c r="I41" i="14"/>
  <c r="I43" i="14"/>
  <c r="I44" i="14"/>
  <c r="I48" i="14"/>
  <c r="E54" i="14"/>
  <c r="E48" i="14"/>
  <c r="E49" i="14"/>
  <c r="E46" i="14"/>
  <c r="E47" i="14"/>
  <c r="E44" i="14"/>
  <c r="E45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29" i="14"/>
  <c r="K3" i="14"/>
  <c r="K4" i="14"/>
  <c r="K5" i="14"/>
  <c r="K9" i="14"/>
  <c r="K10" i="14"/>
  <c r="K11" i="14"/>
  <c r="K12" i="14"/>
  <c r="K13" i="14"/>
  <c r="K14" i="14"/>
  <c r="K15" i="14"/>
  <c r="K16" i="14"/>
  <c r="K17" i="14"/>
  <c r="K2" i="14"/>
  <c r="I4" i="14"/>
  <c r="I5" i="14"/>
  <c r="I12" i="14"/>
  <c r="I16" i="14"/>
  <c r="E28" i="14"/>
  <c r="E17" i="14"/>
  <c r="E15" i="14"/>
  <c r="E16" i="14"/>
  <c r="E13" i="14"/>
  <c r="E14" i="14"/>
  <c r="E4" i="14"/>
  <c r="E5" i="14"/>
  <c r="E9" i="14"/>
  <c r="E10" i="14"/>
  <c r="E11" i="14"/>
  <c r="E12" i="14"/>
  <c r="E3" i="14"/>
  <c r="E2" i="14"/>
  <c r="I30" i="14"/>
  <c r="I47" i="14"/>
  <c r="I3" i="14"/>
  <c r="I17" i="14"/>
  <c r="I38" i="14"/>
  <c r="I37" i="14"/>
  <c r="I14" i="14"/>
  <c r="I13" i="14"/>
  <c r="I34" i="14"/>
  <c r="I11" i="14"/>
  <c r="I10" i="14"/>
  <c r="I9" i="14"/>
  <c r="I29" i="14"/>
  <c r="I295" i="14"/>
  <c r="I172" i="14"/>
  <c r="I2" i="14"/>
  <c r="I293" i="14"/>
  <c r="I170" i="14"/>
  <c r="I291" i="14"/>
  <c r="I168" i="14"/>
  <c r="I290" i="14"/>
  <c r="I167" i="14"/>
  <c r="I194" i="14"/>
  <c r="H124" i="3"/>
  <c r="L124" i="7"/>
  <c r="I162" i="14"/>
  <c r="I165" i="14"/>
  <c r="I285" i="14"/>
  <c r="I288" i="14"/>
  <c r="K110" i="7"/>
  <c r="H110" i="3"/>
  <c r="I289" i="14"/>
  <c r="I166" i="14"/>
  <c r="I175" i="14"/>
  <c r="I169" i="14"/>
  <c r="F16" i="1"/>
  <c r="I292" i="14"/>
  <c r="F36" i="1"/>
  <c r="I191" i="14"/>
  <c r="I192" i="14"/>
  <c r="H23" i="3"/>
  <c r="L23" i="3" s="1"/>
  <c r="M191" i="14" s="1"/>
  <c r="H106" i="7"/>
  <c r="K106" i="7" s="1"/>
  <c r="H106" i="3"/>
  <c r="K106" i="3" s="1"/>
  <c r="J7" i="8"/>
  <c r="J8" i="8"/>
  <c r="J9" i="8"/>
  <c r="J6" i="8"/>
  <c r="J34" i="5"/>
  <c r="J35" i="5"/>
  <c r="J33" i="5"/>
  <c r="J21" i="5"/>
  <c r="J19" i="5"/>
  <c r="J16" i="5"/>
  <c r="J17" i="5"/>
  <c r="J15" i="5"/>
  <c r="J13" i="5"/>
  <c r="J7" i="5"/>
  <c r="J8" i="5"/>
  <c r="J11" i="5"/>
  <c r="J6" i="5"/>
  <c r="H7" i="8"/>
  <c r="H8" i="8"/>
  <c r="H9" i="8"/>
  <c r="H6" i="8"/>
  <c r="G7" i="8"/>
  <c r="G8" i="8"/>
  <c r="G6" i="8"/>
  <c r="H34" i="5"/>
  <c r="H35" i="5"/>
  <c r="H33" i="5"/>
  <c r="H21" i="5"/>
  <c r="H19" i="5"/>
  <c r="H16" i="5"/>
  <c r="H17" i="5"/>
  <c r="H15" i="5"/>
  <c r="H13" i="5"/>
  <c r="H7" i="5"/>
  <c r="H8" i="5"/>
  <c r="H11" i="5"/>
  <c r="H6" i="5"/>
  <c r="G34" i="5"/>
  <c r="G35" i="5"/>
  <c r="G33" i="5"/>
  <c r="G21" i="5"/>
  <c r="G19" i="5"/>
  <c r="G16" i="5"/>
  <c r="G17" i="5"/>
  <c r="G15" i="5"/>
  <c r="G13" i="5"/>
  <c r="G7" i="5"/>
  <c r="G8" i="5"/>
  <c r="G11" i="5"/>
  <c r="G6" i="5"/>
  <c r="G37" i="1"/>
  <c r="G39" i="1"/>
  <c r="J39" i="1" s="1"/>
  <c r="G40" i="1"/>
  <c r="G41" i="1"/>
  <c r="J41" i="1" s="1"/>
  <c r="G17" i="1"/>
  <c r="I17" i="1" s="1"/>
  <c r="G19" i="1"/>
  <c r="I19" i="1" s="1"/>
  <c r="G20" i="1"/>
  <c r="G21" i="1"/>
  <c r="I21" i="1" s="1"/>
  <c r="H137" i="7"/>
  <c r="H136" i="7"/>
  <c r="H134" i="7"/>
  <c r="H133" i="7"/>
  <c r="H132" i="7"/>
  <c r="H131" i="7"/>
  <c r="H130" i="7"/>
  <c r="H129" i="7"/>
  <c r="K129" i="7" s="1"/>
  <c r="L168" i="14" s="1"/>
  <c r="H128" i="7"/>
  <c r="J167" i="14" s="1"/>
  <c r="H127" i="7"/>
  <c r="L121" i="7"/>
  <c r="M162" i="14" s="1"/>
  <c r="L119" i="7"/>
  <c r="M160" i="14" s="1"/>
  <c r="L118" i="7"/>
  <c r="M159" i="14" s="1"/>
  <c r="L117" i="7"/>
  <c r="M158" i="14" s="1"/>
  <c r="L114" i="7"/>
  <c r="M155" i="14" s="1"/>
  <c r="H105" i="7"/>
  <c r="H104" i="7"/>
  <c r="H101" i="7"/>
  <c r="H100" i="7"/>
  <c r="H99" i="7"/>
  <c r="H98" i="7"/>
  <c r="H97" i="7"/>
  <c r="H96" i="7"/>
  <c r="H95" i="7"/>
  <c r="H94" i="7"/>
  <c r="H93" i="7"/>
  <c r="H92" i="7"/>
  <c r="H91" i="7"/>
  <c r="H89" i="7"/>
  <c r="H88" i="7"/>
  <c r="H86" i="7"/>
  <c r="H85" i="7"/>
  <c r="H84" i="7"/>
  <c r="H83" i="7"/>
  <c r="H82" i="7"/>
  <c r="H81" i="7"/>
  <c r="H80" i="7"/>
  <c r="H79" i="7"/>
  <c r="H78" i="7"/>
  <c r="H77" i="7"/>
  <c r="H76" i="7"/>
  <c r="H75" i="7"/>
  <c r="H71" i="7"/>
  <c r="H70" i="7"/>
  <c r="H69" i="7"/>
  <c r="H68" i="7"/>
  <c r="H67" i="7"/>
  <c r="H66" i="7"/>
  <c r="H65" i="7"/>
  <c r="H64" i="7"/>
  <c r="H62" i="7"/>
  <c r="H61" i="7"/>
  <c r="H60" i="7"/>
  <c r="H59" i="7"/>
  <c r="H58" i="7"/>
  <c r="H57" i="7"/>
  <c r="H56" i="7"/>
  <c r="H54" i="7"/>
  <c r="H53" i="7"/>
  <c r="H52" i="7"/>
  <c r="H51" i="7"/>
  <c r="H48" i="7"/>
  <c r="H47" i="7"/>
  <c r="H46" i="7"/>
  <c r="H45" i="7"/>
  <c r="H44" i="7"/>
  <c r="H43" i="7"/>
  <c r="H42" i="7"/>
  <c r="H41" i="7"/>
  <c r="H39" i="7"/>
  <c r="H36" i="7"/>
  <c r="H35" i="7"/>
  <c r="H34" i="7"/>
  <c r="H32" i="7"/>
  <c r="H31" i="7"/>
  <c r="H30" i="7"/>
  <c r="H29" i="7"/>
  <c r="H28" i="7"/>
  <c r="H27" i="7"/>
  <c r="H26" i="7"/>
  <c r="H24" i="7"/>
  <c r="H20" i="7"/>
  <c r="J66" i="14" s="1"/>
  <c r="H19" i="7"/>
  <c r="K19" i="7" s="1"/>
  <c r="H15" i="7"/>
  <c r="K15" i="7" s="1"/>
  <c r="L62" i="14" s="1"/>
  <c r="H12" i="7"/>
  <c r="J60" i="14" s="1"/>
  <c r="H9" i="7"/>
  <c r="K9" i="7" s="1"/>
  <c r="L57" i="14" s="1"/>
  <c r="H128" i="3"/>
  <c r="K128" i="3" s="1"/>
  <c r="L290" i="14" s="1"/>
  <c r="H129" i="3"/>
  <c r="K129" i="3" s="1"/>
  <c r="L291" i="14" s="1"/>
  <c r="H130" i="3"/>
  <c r="L130" i="3" s="1"/>
  <c r="M292" i="14" s="1"/>
  <c r="H131" i="3"/>
  <c r="J293" i="14" s="1"/>
  <c r="H132" i="3"/>
  <c r="J294" i="14" s="1"/>
  <c r="H133" i="3"/>
  <c r="K133" i="3" s="1"/>
  <c r="H134" i="3"/>
  <c r="J296" i="14" s="1"/>
  <c r="H136" i="3"/>
  <c r="H137" i="3"/>
  <c r="H127" i="3"/>
  <c r="L127" i="3" s="1"/>
  <c r="M289" i="14" s="1"/>
  <c r="H114" i="3"/>
  <c r="E22" i="5" s="1"/>
  <c r="H116" i="3"/>
  <c r="H117" i="3"/>
  <c r="H118" i="3"/>
  <c r="H119" i="3"/>
  <c r="H120" i="3"/>
  <c r="H121" i="3"/>
  <c r="H122" i="3"/>
  <c r="H123" i="3"/>
  <c r="H113" i="3"/>
  <c r="L113" i="3" s="1"/>
  <c r="M277" i="14" s="1"/>
  <c r="H109" i="3"/>
  <c r="K109" i="3" s="1"/>
  <c r="L275" i="14" s="1"/>
  <c r="H24" i="3"/>
  <c r="J192" i="14" s="1"/>
  <c r="H26" i="3"/>
  <c r="L26" i="3" s="1"/>
  <c r="M194" i="14" s="1"/>
  <c r="H27" i="3"/>
  <c r="H28" i="3"/>
  <c r="K28" i="3" s="1"/>
  <c r="L11" i="8" s="1"/>
  <c r="H29" i="3"/>
  <c r="H30" i="3"/>
  <c r="H31" i="3"/>
  <c r="H32" i="3"/>
  <c r="H33" i="3"/>
  <c r="E16" i="8" s="1"/>
  <c r="H34" i="3"/>
  <c r="H35" i="3"/>
  <c r="H36" i="3"/>
  <c r="J204" i="14" s="1"/>
  <c r="H38" i="3"/>
  <c r="H39" i="3"/>
  <c r="J207" i="14" s="1"/>
  <c r="H40" i="3"/>
  <c r="H41" i="3"/>
  <c r="H42" i="3"/>
  <c r="H43" i="3"/>
  <c r="H44" i="3"/>
  <c r="J212" i="14" s="1"/>
  <c r="H45" i="3"/>
  <c r="H47" i="3"/>
  <c r="J215" i="14" s="1"/>
  <c r="H48" i="3"/>
  <c r="H49" i="3"/>
  <c r="J217" i="14" s="1"/>
  <c r="H51" i="3"/>
  <c r="H52" i="3"/>
  <c r="H53" i="3"/>
  <c r="J221" i="14" s="1"/>
  <c r="H55" i="3"/>
  <c r="E38" i="8" s="1"/>
  <c r="H56" i="3"/>
  <c r="J224" i="14" s="1"/>
  <c r="H57" i="3"/>
  <c r="H58" i="3"/>
  <c r="H59" i="3"/>
  <c r="J227" i="14" s="1"/>
  <c r="H60" i="3"/>
  <c r="H61" i="3"/>
  <c r="H62" i="3"/>
  <c r="J230" i="14" s="1"/>
  <c r="H63" i="3"/>
  <c r="E46" i="8" s="1"/>
  <c r="H64" i="3"/>
  <c r="J232" i="14" s="1"/>
  <c r="H65" i="3"/>
  <c r="H66" i="3"/>
  <c r="H67" i="3"/>
  <c r="J235" i="14" s="1"/>
  <c r="H68" i="3"/>
  <c r="J236" i="14" s="1"/>
  <c r="H69" i="3"/>
  <c r="H70" i="3"/>
  <c r="H71" i="3"/>
  <c r="J239" i="14" s="1"/>
  <c r="H72" i="3"/>
  <c r="E55" i="8" s="1"/>
  <c r="H73" i="3"/>
  <c r="H74" i="3"/>
  <c r="E57" i="8" s="1"/>
  <c r="H75" i="3"/>
  <c r="J243" i="14" s="1"/>
  <c r="H76" i="3"/>
  <c r="H77" i="3"/>
  <c r="H78" i="3"/>
  <c r="J246" i="14" s="1"/>
  <c r="H79" i="3"/>
  <c r="H80" i="3"/>
  <c r="H81" i="3"/>
  <c r="J249" i="14" s="1"/>
  <c r="H82" i="3"/>
  <c r="H84" i="3"/>
  <c r="J252" i="14" s="1"/>
  <c r="H87" i="3"/>
  <c r="E70" i="8" s="1"/>
  <c r="H88" i="3"/>
  <c r="J256" i="14" s="1"/>
  <c r="H89" i="3"/>
  <c r="J257" i="14" s="1"/>
  <c r="H90" i="3"/>
  <c r="J258" i="14" s="1"/>
  <c r="H91" i="3"/>
  <c r="J259" i="14" s="1"/>
  <c r="H92" i="3"/>
  <c r="H93" i="3"/>
  <c r="J261" i="14" s="1"/>
  <c r="H94" i="3"/>
  <c r="J262" i="14" s="1"/>
  <c r="H95" i="3"/>
  <c r="J263" i="14" s="1"/>
  <c r="H96" i="3"/>
  <c r="J264" i="14" s="1"/>
  <c r="H97" i="3"/>
  <c r="J265" i="14" s="1"/>
  <c r="H104" i="3"/>
  <c r="H105" i="3"/>
  <c r="J273" i="14" s="1"/>
  <c r="H19" i="3"/>
  <c r="J188" i="14" s="1"/>
  <c r="H20" i="3"/>
  <c r="K20" i="3" s="1"/>
  <c r="H18" i="3"/>
  <c r="J187" i="14" s="1"/>
  <c r="H15" i="3"/>
  <c r="L15" i="3" s="1"/>
  <c r="M185" i="14" s="1"/>
  <c r="H8" i="3"/>
  <c r="H9" i="3"/>
  <c r="H12" i="3"/>
  <c r="L59" i="2"/>
  <c r="M48" i="14" s="1"/>
  <c r="H47" i="14"/>
  <c r="H45" i="14"/>
  <c r="I51" i="2"/>
  <c r="K51" i="2" s="1"/>
  <c r="L40" i="14" s="1"/>
  <c r="L51" i="2"/>
  <c r="M40" i="14" s="1"/>
  <c r="L53" i="2"/>
  <c r="M42" i="14" s="1"/>
  <c r="H43" i="14"/>
  <c r="L55" i="2"/>
  <c r="M44" i="14" s="1"/>
  <c r="L44" i="2"/>
  <c r="M33" i="14" s="1"/>
  <c r="H36" i="14"/>
  <c r="L41" i="2"/>
  <c r="M30" i="14" s="1"/>
  <c r="G8" i="2"/>
  <c r="H3" i="14" s="1"/>
  <c r="G10" i="2"/>
  <c r="G14" i="2"/>
  <c r="H9" i="14" s="1"/>
  <c r="G15" i="2"/>
  <c r="L15" i="2" s="1"/>
  <c r="M10" i="14" s="1"/>
  <c r="G16" i="2"/>
  <c r="H11" i="14" s="1"/>
  <c r="G17" i="2"/>
  <c r="H12" i="14" s="1"/>
  <c r="G18" i="2"/>
  <c r="I18" i="2" s="1"/>
  <c r="G19" i="2"/>
  <c r="G20" i="2"/>
  <c r="H15" i="14" s="1"/>
  <c r="G21" i="2"/>
  <c r="G22" i="2"/>
  <c r="G7" i="2"/>
  <c r="H2" i="14" s="1"/>
  <c r="H44" i="14"/>
  <c r="I56" i="2"/>
  <c r="J45" i="14" s="1"/>
  <c r="H46" i="3"/>
  <c r="K109" i="7"/>
  <c r="L152" i="14" s="1"/>
  <c r="J152" i="14"/>
  <c r="I188" i="14"/>
  <c r="G21" i="3"/>
  <c r="I46" i="2"/>
  <c r="J35" i="14" s="1"/>
  <c r="I65" i="14"/>
  <c r="I42" i="2"/>
  <c r="L42" i="2" s="1"/>
  <c r="K121" i="7"/>
  <c r="J160" i="14"/>
  <c r="K119" i="7"/>
  <c r="K27" i="5" s="1"/>
  <c r="J159" i="14"/>
  <c r="K118" i="7"/>
  <c r="K117" i="7"/>
  <c r="J155" i="14"/>
  <c r="K114" i="7"/>
  <c r="H23" i="7"/>
  <c r="L109" i="7"/>
  <c r="M152" i="14" s="1"/>
  <c r="E36" i="5" l="1"/>
  <c r="F36" i="5" s="1"/>
  <c r="L162" i="14"/>
  <c r="K29" i="5"/>
  <c r="L122" i="3"/>
  <c r="M286" i="14" s="1"/>
  <c r="E30" i="5"/>
  <c r="K26" i="7"/>
  <c r="E9" i="8"/>
  <c r="F9" i="8" s="1"/>
  <c r="K35" i="7"/>
  <c r="K18" i="8" s="1"/>
  <c r="E18" i="8"/>
  <c r="K46" i="7"/>
  <c r="K29" i="8" s="1"/>
  <c r="E29" i="8"/>
  <c r="K57" i="7"/>
  <c r="K40" i="8" s="1"/>
  <c r="E40" i="8"/>
  <c r="K66" i="7"/>
  <c r="K49" i="8" s="1"/>
  <c r="E49" i="8"/>
  <c r="K77" i="7"/>
  <c r="K60" i="8" s="1"/>
  <c r="E60" i="8"/>
  <c r="K105" i="7"/>
  <c r="K88" i="8" s="1"/>
  <c r="E88" i="8"/>
  <c r="K38" i="7"/>
  <c r="K21" i="8" s="1"/>
  <c r="E21" i="8"/>
  <c r="K47" i="7"/>
  <c r="K30" i="8" s="1"/>
  <c r="E30" i="8"/>
  <c r="K96" i="7"/>
  <c r="K79" i="8" s="1"/>
  <c r="E79" i="8"/>
  <c r="J284" i="14"/>
  <c r="E28" i="5"/>
  <c r="F28" i="5" s="1"/>
  <c r="K28" i="7"/>
  <c r="K11" i="8" s="1"/>
  <c r="E11" i="8"/>
  <c r="K39" i="7"/>
  <c r="K22" i="8" s="1"/>
  <c r="E22" i="8"/>
  <c r="K48" i="7"/>
  <c r="K31" i="8" s="1"/>
  <c r="E31" i="8"/>
  <c r="K59" i="7"/>
  <c r="K42" i="8" s="1"/>
  <c r="E42" i="8"/>
  <c r="K68" i="7"/>
  <c r="K51" i="8" s="1"/>
  <c r="E51" i="8"/>
  <c r="K79" i="7"/>
  <c r="K62" i="8" s="1"/>
  <c r="E62" i="8"/>
  <c r="K88" i="7"/>
  <c r="K71" i="8" s="1"/>
  <c r="E71" i="8"/>
  <c r="K97" i="7"/>
  <c r="K80" i="8" s="1"/>
  <c r="E80" i="8"/>
  <c r="J170" i="14"/>
  <c r="E37" i="5"/>
  <c r="F37" i="5" s="1"/>
  <c r="K49" i="7"/>
  <c r="K32" i="8" s="1"/>
  <c r="E32" i="8"/>
  <c r="K36" i="7"/>
  <c r="K19" i="8" s="1"/>
  <c r="E19" i="8"/>
  <c r="K37" i="7"/>
  <c r="K20" i="8" s="1"/>
  <c r="E20" i="8"/>
  <c r="L119" i="3"/>
  <c r="M283" i="14" s="1"/>
  <c r="E27" i="5"/>
  <c r="F27" i="5" s="1"/>
  <c r="K29" i="7"/>
  <c r="K12" i="8" s="1"/>
  <c r="E12" i="8"/>
  <c r="K41" i="7"/>
  <c r="K24" i="8" s="1"/>
  <c r="E24" i="8"/>
  <c r="K51" i="7"/>
  <c r="K34" i="8" s="1"/>
  <c r="E34" i="8"/>
  <c r="K60" i="7"/>
  <c r="K43" i="8" s="1"/>
  <c r="E43" i="8"/>
  <c r="K69" i="7"/>
  <c r="K52" i="8" s="1"/>
  <c r="E52" i="8"/>
  <c r="K80" i="7"/>
  <c r="K63" i="8" s="1"/>
  <c r="E63" i="8"/>
  <c r="K89" i="7"/>
  <c r="K72" i="8" s="1"/>
  <c r="E72" i="8"/>
  <c r="K98" i="7"/>
  <c r="K81" i="8" s="1"/>
  <c r="E81" i="8"/>
  <c r="K132" i="7"/>
  <c r="K38" i="5" s="1"/>
  <c r="E38" i="5"/>
  <c r="F38" i="5" s="1"/>
  <c r="K73" i="7"/>
  <c r="K56" i="8" s="1"/>
  <c r="E56" i="8"/>
  <c r="K67" i="7"/>
  <c r="K50" i="8" s="1"/>
  <c r="E50" i="8"/>
  <c r="L159" i="14"/>
  <c r="K26" i="5"/>
  <c r="K118" i="3"/>
  <c r="L26" i="5" s="1"/>
  <c r="E26" i="5"/>
  <c r="F26" i="5" s="1"/>
  <c r="K30" i="7"/>
  <c r="K13" i="8" s="1"/>
  <c r="E13" i="8"/>
  <c r="K42" i="7"/>
  <c r="K25" i="8" s="1"/>
  <c r="E25" i="8"/>
  <c r="K52" i="7"/>
  <c r="K35" i="8" s="1"/>
  <c r="E35" i="8"/>
  <c r="K61" i="7"/>
  <c r="K44" i="8" s="1"/>
  <c r="E44" i="8"/>
  <c r="K70" i="7"/>
  <c r="K53" i="8" s="1"/>
  <c r="E53" i="8"/>
  <c r="K81" i="7"/>
  <c r="K64" i="8" s="1"/>
  <c r="E64" i="8"/>
  <c r="K91" i="7"/>
  <c r="K74" i="8" s="1"/>
  <c r="E74" i="8"/>
  <c r="K99" i="7"/>
  <c r="K82" i="8" s="1"/>
  <c r="E82" i="8"/>
  <c r="K117" i="3"/>
  <c r="L25" i="5" s="1"/>
  <c r="E25" i="5"/>
  <c r="F25" i="5" s="1"/>
  <c r="K31" i="7"/>
  <c r="K14" i="8" s="1"/>
  <c r="E14" i="8"/>
  <c r="K43" i="7"/>
  <c r="K26" i="8" s="1"/>
  <c r="E26" i="8"/>
  <c r="K53" i="7"/>
  <c r="K36" i="8" s="1"/>
  <c r="E36" i="8"/>
  <c r="K62" i="7"/>
  <c r="K45" i="8" s="1"/>
  <c r="E45" i="8"/>
  <c r="K71" i="7"/>
  <c r="K54" i="8" s="1"/>
  <c r="E54" i="8"/>
  <c r="K82" i="7"/>
  <c r="K65" i="8" s="1"/>
  <c r="E65" i="8"/>
  <c r="K92" i="7"/>
  <c r="K75" i="8" s="1"/>
  <c r="E75" i="8"/>
  <c r="K100" i="7"/>
  <c r="K83" i="8" s="1"/>
  <c r="E83" i="8"/>
  <c r="K134" i="7"/>
  <c r="K40" i="5" s="1"/>
  <c r="E40" i="5"/>
  <c r="F40" i="5" s="1"/>
  <c r="K40" i="7"/>
  <c r="K23" i="8" s="1"/>
  <c r="E23" i="8"/>
  <c r="L121" i="3"/>
  <c r="M285" i="14" s="1"/>
  <c r="E29" i="5"/>
  <c r="F29" i="5" s="1"/>
  <c r="K27" i="7"/>
  <c r="E10" i="8"/>
  <c r="K78" i="7"/>
  <c r="K61" i="8" s="1"/>
  <c r="E61" i="8"/>
  <c r="K86" i="7"/>
  <c r="K69" i="8" s="1"/>
  <c r="E69" i="8"/>
  <c r="L158" i="14"/>
  <c r="K25" i="5"/>
  <c r="J280" i="14"/>
  <c r="E24" i="5"/>
  <c r="F24" i="5" s="1"/>
  <c r="K32" i="7"/>
  <c r="K15" i="8" s="1"/>
  <c r="E15" i="8"/>
  <c r="K44" i="7"/>
  <c r="K27" i="8" s="1"/>
  <c r="E27" i="8"/>
  <c r="K54" i="7"/>
  <c r="K37" i="8" s="1"/>
  <c r="E37" i="8"/>
  <c r="K64" i="7"/>
  <c r="K47" i="8" s="1"/>
  <c r="E47" i="8"/>
  <c r="K75" i="7"/>
  <c r="K58" i="8" s="1"/>
  <c r="E58" i="8"/>
  <c r="K83" i="7"/>
  <c r="K66" i="8" s="1"/>
  <c r="E66" i="8"/>
  <c r="K93" i="7"/>
  <c r="K76" i="8" s="1"/>
  <c r="E76" i="8"/>
  <c r="K101" i="7"/>
  <c r="K84" i="8" s="1"/>
  <c r="E84" i="8"/>
  <c r="L136" i="7"/>
  <c r="M175" i="14" s="1"/>
  <c r="E42" i="5"/>
  <c r="K123" i="3"/>
  <c r="E31" i="5"/>
  <c r="K34" i="7"/>
  <c r="K17" i="8" s="1"/>
  <c r="E17" i="8"/>
  <c r="K45" i="7"/>
  <c r="K28" i="8" s="1"/>
  <c r="E28" i="8"/>
  <c r="K56" i="7"/>
  <c r="K39" i="8" s="1"/>
  <c r="E39" i="8"/>
  <c r="K65" i="7"/>
  <c r="K48" i="8" s="1"/>
  <c r="E48" i="8"/>
  <c r="K76" i="7"/>
  <c r="K59" i="8" s="1"/>
  <c r="E59" i="8"/>
  <c r="K84" i="7"/>
  <c r="K67" i="8" s="1"/>
  <c r="E67" i="8"/>
  <c r="K94" i="7"/>
  <c r="K77" i="8" s="1"/>
  <c r="E77" i="8"/>
  <c r="K104" i="7"/>
  <c r="K87" i="8" s="1"/>
  <c r="E87" i="8"/>
  <c r="J176" i="14"/>
  <c r="E43" i="5"/>
  <c r="K103" i="7"/>
  <c r="K86" i="8" s="1"/>
  <c r="E86" i="8"/>
  <c r="L295" i="14"/>
  <c r="L39" i="5"/>
  <c r="K95" i="7"/>
  <c r="K78" i="8" s="1"/>
  <c r="E78" i="8"/>
  <c r="J172" i="14"/>
  <c r="E39" i="5"/>
  <c r="F39" i="5" s="1"/>
  <c r="K90" i="7"/>
  <c r="K73" i="8" s="1"/>
  <c r="E73" i="8"/>
  <c r="K85" i="7"/>
  <c r="K68" i="8" s="1"/>
  <c r="E68" i="8"/>
  <c r="K58" i="7"/>
  <c r="K41" i="8" s="1"/>
  <c r="E41" i="8"/>
  <c r="K12" i="3"/>
  <c r="L183" i="14" s="1"/>
  <c r="J183" i="14"/>
  <c r="K8" i="3"/>
  <c r="L179" i="14" s="1"/>
  <c r="J179" i="14"/>
  <c r="K136" i="3"/>
  <c r="L42" i="5" s="1"/>
  <c r="J298" i="14"/>
  <c r="K9" i="3"/>
  <c r="L180" i="14" s="1"/>
  <c r="J180" i="14"/>
  <c r="K137" i="3"/>
  <c r="J299" i="14"/>
  <c r="K11" i="3"/>
  <c r="L182" i="14" s="1"/>
  <c r="J182" i="14"/>
  <c r="L23" i="7"/>
  <c r="M68" i="14" s="1"/>
  <c r="K23" i="7"/>
  <c r="K6" i="8" s="1"/>
  <c r="L24" i="7"/>
  <c r="M69" i="14" s="1"/>
  <c r="K24" i="7"/>
  <c r="L25" i="7"/>
  <c r="M70" i="14" s="1"/>
  <c r="K25" i="7"/>
  <c r="L70" i="14" s="1"/>
  <c r="I27" i="2"/>
  <c r="K27" i="2" s="1"/>
  <c r="L22" i="14" s="1"/>
  <c r="L27" i="2"/>
  <c r="M22" i="14" s="1"/>
  <c r="I10" i="2"/>
  <c r="J5" i="14" s="1"/>
  <c r="L10" i="2"/>
  <c r="M5" i="14" s="1"/>
  <c r="F22" i="5"/>
  <c r="P22" i="5"/>
  <c r="L155" i="14"/>
  <c r="K22" i="5"/>
  <c r="K48" i="3"/>
  <c r="J216" i="14"/>
  <c r="J76" i="14"/>
  <c r="J101" i="14"/>
  <c r="L78" i="7"/>
  <c r="M123" i="14" s="1"/>
  <c r="J123" i="14"/>
  <c r="J255" i="14"/>
  <c r="L72" i="3"/>
  <c r="M240" i="14" s="1"/>
  <c r="J240" i="14"/>
  <c r="L66" i="3"/>
  <c r="M234" i="14" s="1"/>
  <c r="J234" i="14"/>
  <c r="K33" i="3"/>
  <c r="J201" i="14"/>
  <c r="L26" i="7"/>
  <c r="M71" i="14" s="1"/>
  <c r="J71" i="14"/>
  <c r="J77" i="14"/>
  <c r="J93" i="14"/>
  <c r="J102" i="14"/>
  <c r="L70" i="7"/>
  <c r="M115" i="14" s="1"/>
  <c r="J115" i="14"/>
  <c r="J130" i="14"/>
  <c r="J94" i="14"/>
  <c r="L92" i="3"/>
  <c r="M260" i="14" s="1"/>
  <c r="J260" i="14"/>
  <c r="L45" i="3"/>
  <c r="M213" i="14" s="1"/>
  <c r="J213" i="14"/>
  <c r="K32" i="3"/>
  <c r="L15" i="8" s="1"/>
  <c r="J200" i="14"/>
  <c r="J79" i="14"/>
  <c r="J96" i="14"/>
  <c r="J139" i="14"/>
  <c r="K76" i="3"/>
  <c r="J244" i="14"/>
  <c r="K70" i="3"/>
  <c r="J238" i="14"/>
  <c r="K58" i="3"/>
  <c r="J226" i="14"/>
  <c r="K51" i="3"/>
  <c r="J219" i="14"/>
  <c r="L31" i="3"/>
  <c r="M199" i="14" s="1"/>
  <c r="J199" i="14"/>
  <c r="J73" i="14"/>
  <c r="J80" i="14"/>
  <c r="J89" i="14"/>
  <c r="J104" i="14"/>
  <c r="J111" i="14"/>
  <c r="J120" i="14"/>
  <c r="J133" i="14"/>
  <c r="J146" i="14"/>
  <c r="J148" i="14"/>
  <c r="K73" i="3"/>
  <c r="L56" i="8" s="1"/>
  <c r="J241" i="14"/>
  <c r="L61" i="3"/>
  <c r="M229" i="14" s="1"/>
  <c r="J229" i="14"/>
  <c r="K41" i="3"/>
  <c r="L24" i="8" s="1"/>
  <c r="J209" i="14"/>
  <c r="K34" i="3"/>
  <c r="J202" i="14"/>
  <c r="J92" i="14"/>
  <c r="J107" i="14"/>
  <c r="J137" i="14"/>
  <c r="K104" i="3"/>
  <c r="J272" i="14"/>
  <c r="L65" i="3"/>
  <c r="M233" i="14" s="1"/>
  <c r="J233" i="14"/>
  <c r="J88" i="14"/>
  <c r="J110" i="14"/>
  <c r="L86" i="7"/>
  <c r="M131" i="14" s="1"/>
  <c r="J131" i="14"/>
  <c r="K46" i="3"/>
  <c r="J214" i="14"/>
  <c r="K63" i="3"/>
  <c r="J231" i="14"/>
  <c r="K57" i="3"/>
  <c r="J225" i="14"/>
  <c r="J81" i="14"/>
  <c r="J90" i="14"/>
  <c r="L67" i="7"/>
  <c r="M112" i="14" s="1"/>
  <c r="J112" i="14"/>
  <c r="J121" i="14"/>
  <c r="J134" i="14"/>
  <c r="J141" i="14"/>
  <c r="J149" i="14"/>
  <c r="L55" i="3"/>
  <c r="M223" i="14" s="1"/>
  <c r="J223" i="14"/>
  <c r="J86" i="14"/>
  <c r="J114" i="14"/>
  <c r="J72" i="14"/>
  <c r="J103" i="14"/>
  <c r="J125" i="14"/>
  <c r="J118" i="14"/>
  <c r="K69" i="3"/>
  <c r="J237" i="14"/>
  <c r="K43" i="3"/>
  <c r="L26" i="8" s="1"/>
  <c r="J211" i="14"/>
  <c r="K80" i="3"/>
  <c r="J248" i="14"/>
  <c r="J242" i="14"/>
  <c r="K35" i="3"/>
  <c r="J203" i="14"/>
  <c r="J84" i="14"/>
  <c r="L46" i="7"/>
  <c r="M91" i="14" s="1"/>
  <c r="J91" i="14"/>
  <c r="J99" i="14"/>
  <c r="J106" i="14"/>
  <c r="J128" i="14"/>
  <c r="J136" i="14"/>
  <c r="L97" i="7"/>
  <c r="M142" i="14" s="1"/>
  <c r="J142" i="14"/>
  <c r="J150" i="14"/>
  <c r="J82" i="14"/>
  <c r="J135" i="14"/>
  <c r="L71" i="7"/>
  <c r="M116" i="14" s="1"/>
  <c r="J116" i="14"/>
  <c r="L100" i="3"/>
  <c r="M268" i="14" s="1"/>
  <c r="J268" i="14"/>
  <c r="L100" i="7"/>
  <c r="M145" i="14" s="1"/>
  <c r="J145" i="14"/>
  <c r="J98" i="14"/>
  <c r="L64" i="7"/>
  <c r="M109" i="14" s="1"/>
  <c r="J109" i="14"/>
  <c r="K52" i="3"/>
  <c r="J220" i="14"/>
  <c r="J97" i="14"/>
  <c r="L82" i="3"/>
  <c r="M250" i="14" s="1"/>
  <c r="J250" i="14"/>
  <c r="J127" i="14"/>
  <c r="J140" i="14"/>
  <c r="K40" i="3"/>
  <c r="L23" i="8" s="1"/>
  <c r="J208" i="14"/>
  <c r="J85" i="14"/>
  <c r="L38" i="3"/>
  <c r="M206" i="14" s="1"/>
  <c r="J206" i="14"/>
  <c r="J83" i="14"/>
  <c r="L99" i="7"/>
  <c r="M144" i="14" s="1"/>
  <c r="J144" i="14"/>
  <c r="L29" i="7"/>
  <c r="M74" i="14" s="1"/>
  <c r="J74" i="14"/>
  <c r="K30" i="3"/>
  <c r="L13" i="8" s="1"/>
  <c r="J198" i="14"/>
  <c r="J75" i="14"/>
  <c r="L68" i="7"/>
  <c r="M113" i="14" s="1"/>
  <c r="J113" i="14"/>
  <c r="J143" i="14"/>
  <c r="J138" i="14"/>
  <c r="J129" i="14"/>
  <c r="K60" i="3"/>
  <c r="J228" i="14"/>
  <c r="J105" i="14"/>
  <c r="K79" i="3"/>
  <c r="J247" i="14"/>
  <c r="J124" i="14"/>
  <c r="K77" i="3"/>
  <c r="J245" i="14"/>
  <c r="J126" i="14"/>
  <c r="J122" i="14"/>
  <c r="L29" i="3"/>
  <c r="M197" i="14" s="1"/>
  <c r="J197" i="14"/>
  <c r="L42" i="3"/>
  <c r="M210" i="14" s="1"/>
  <c r="J210" i="14"/>
  <c r="J87" i="14"/>
  <c r="L196" i="14"/>
  <c r="N93" i="14"/>
  <c r="N141" i="14"/>
  <c r="N123" i="14"/>
  <c r="N132" i="14"/>
  <c r="N103" i="14"/>
  <c r="N112" i="14"/>
  <c r="N121" i="14"/>
  <c r="N139" i="14"/>
  <c r="L124" i="3"/>
  <c r="K63" i="14"/>
  <c r="K54" i="14"/>
  <c r="H38" i="1"/>
  <c r="J19" i="1"/>
  <c r="K49" i="3"/>
  <c r="L32" i="8" s="1"/>
  <c r="J291" i="14"/>
  <c r="J295" i="14"/>
  <c r="K67" i="3"/>
  <c r="L50" i="8" s="1"/>
  <c r="J189" i="14"/>
  <c r="L73" i="3"/>
  <c r="M241" i="14" s="1"/>
  <c r="L44" i="3"/>
  <c r="M212" i="14" s="1"/>
  <c r="I190" i="14"/>
  <c r="F29" i="1"/>
  <c r="L58" i="3"/>
  <c r="M226" i="14" s="1"/>
  <c r="K44" i="3"/>
  <c r="L27" i="8" s="1"/>
  <c r="I63" i="14"/>
  <c r="F8" i="1"/>
  <c r="G8" i="1" s="1"/>
  <c r="I186" i="14"/>
  <c r="F28" i="1"/>
  <c r="K190" i="14"/>
  <c r="H29" i="1"/>
  <c r="K300" i="14"/>
  <c r="H36" i="1"/>
  <c r="K184" i="14"/>
  <c r="H27" i="1"/>
  <c r="L96" i="3"/>
  <c r="M264" i="14" s="1"/>
  <c r="E30" i="1"/>
  <c r="K65" i="3"/>
  <c r="L48" i="8" s="1"/>
  <c r="K94" i="3"/>
  <c r="L77" i="8" s="1"/>
  <c r="K90" i="3"/>
  <c r="L73" i="8" s="1"/>
  <c r="K84" i="3"/>
  <c r="L67" i="8" s="1"/>
  <c r="K61" i="14"/>
  <c r="H7" i="1"/>
  <c r="L81" i="3"/>
  <c r="M249" i="14" s="1"/>
  <c r="K97" i="3"/>
  <c r="L80" i="8" s="1"/>
  <c r="L93" i="3"/>
  <c r="M261" i="14" s="1"/>
  <c r="H151" i="14"/>
  <c r="E10" i="1"/>
  <c r="G10" i="1" s="1"/>
  <c r="J10" i="1" s="1"/>
  <c r="L90" i="7"/>
  <c r="M135" i="14" s="1"/>
  <c r="K85" i="3"/>
  <c r="L68" i="8" s="1"/>
  <c r="K92" i="3"/>
  <c r="L75" i="8" s="1"/>
  <c r="L43" i="3"/>
  <c r="M211" i="14" s="1"/>
  <c r="K95" i="3"/>
  <c r="L78" i="8" s="1"/>
  <c r="L89" i="7"/>
  <c r="M134" i="14" s="1"/>
  <c r="L56" i="2"/>
  <c r="M45" i="14" s="1"/>
  <c r="L16" i="2"/>
  <c r="M11" i="14" s="1"/>
  <c r="H22" i="14"/>
  <c r="K88" i="3"/>
  <c r="L71" i="8" s="1"/>
  <c r="L86" i="3"/>
  <c r="M254" i="14" s="1"/>
  <c r="M220" i="14"/>
  <c r="L48" i="3"/>
  <c r="M216" i="14" s="1"/>
  <c r="J195" i="14"/>
  <c r="K26" i="3"/>
  <c r="L9" i="8" s="1"/>
  <c r="L35" i="3"/>
  <c r="M203" i="14" s="1"/>
  <c r="K31" i="3"/>
  <c r="L14" i="8" s="1"/>
  <c r="K55" i="3"/>
  <c r="L38" i="8" s="1"/>
  <c r="K24" i="3"/>
  <c r="L104" i="3"/>
  <c r="M272" i="14" s="1"/>
  <c r="L59" i="3"/>
  <c r="M227" i="14" s="1"/>
  <c r="K42" i="3"/>
  <c r="L25" i="8" s="1"/>
  <c r="L96" i="7"/>
  <c r="M141" i="14" s="1"/>
  <c r="I10" i="5"/>
  <c r="I8" i="5"/>
  <c r="I7" i="8"/>
  <c r="L62" i="7"/>
  <c r="M107" i="14" s="1"/>
  <c r="L9" i="7"/>
  <c r="M57" i="14" s="1"/>
  <c r="L137" i="7"/>
  <c r="M176" i="14" s="1"/>
  <c r="I9" i="8"/>
  <c r="J171" i="14"/>
  <c r="I15" i="5"/>
  <c r="K136" i="7"/>
  <c r="K128" i="7"/>
  <c r="L167" i="14" s="1"/>
  <c r="I13" i="5"/>
  <c r="I17" i="5"/>
  <c r="L53" i="7"/>
  <c r="M98" i="14" s="1"/>
  <c r="I16" i="5"/>
  <c r="I11" i="5"/>
  <c r="I9" i="5"/>
  <c r="H67" i="14"/>
  <c r="E9" i="1"/>
  <c r="K25" i="3"/>
  <c r="L193" i="14" s="1"/>
  <c r="I54" i="2"/>
  <c r="K54" i="2" s="1"/>
  <c r="L43" i="14" s="1"/>
  <c r="E29" i="1"/>
  <c r="I64" i="2"/>
  <c r="E8" i="5"/>
  <c r="F8" i="5" s="1"/>
  <c r="K75" i="3"/>
  <c r="L58" i="8" s="1"/>
  <c r="L24" i="3"/>
  <c r="M192" i="14" s="1"/>
  <c r="H5" i="14"/>
  <c r="K59" i="3"/>
  <c r="L42" i="8" s="1"/>
  <c r="E16" i="1"/>
  <c r="G16" i="1" s="1"/>
  <c r="K8" i="5"/>
  <c r="L128" i="7"/>
  <c r="M167" i="14" s="1"/>
  <c r="L75" i="3"/>
  <c r="M243" i="14" s="1"/>
  <c r="J286" i="14"/>
  <c r="J169" i="14"/>
  <c r="I16" i="2"/>
  <c r="J11" i="14" s="1"/>
  <c r="L90" i="3"/>
  <c r="M258" i="14" s="1"/>
  <c r="L78" i="3"/>
  <c r="M246" i="14" s="1"/>
  <c r="J57" i="14"/>
  <c r="L54" i="2"/>
  <c r="M43" i="14" s="1"/>
  <c r="E34" i="5"/>
  <c r="F34" i="5" s="1"/>
  <c r="E36" i="1"/>
  <c r="G36" i="1" s="1"/>
  <c r="L93" i="7"/>
  <c r="M138" i="14" s="1"/>
  <c r="K39" i="3"/>
  <c r="L22" i="8" s="1"/>
  <c r="I41" i="2"/>
  <c r="K41" i="2" s="1"/>
  <c r="L30" i="14" s="1"/>
  <c r="H61" i="14"/>
  <c r="E7" i="1"/>
  <c r="E28" i="1"/>
  <c r="E32" i="1"/>
  <c r="G32" i="1" s="1"/>
  <c r="I32" i="1" s="1"/>
  <c r="L12" i="7"/>
  <c r="M60" i="14" s="1"/>
  <c r="L71" i="3"/>
  <c r="M239" i="14" s="1"/>
  <c r="L25" i="3"/>
  <c r="M193" i="14" s="1"/>
  <c r="J292" i="14"/>
  <c r="K18" i="3"/>
  <c r="L187" i="14" s="1"/>
  <c r="L54" i="7"/>
  <c r="M99" i="14" s="1"/>
  <c r="H153" i="14"/>
  <c r="E12" i="1"/>
  <c r="G12" i="1" s="1"/>
  <c r="I39" i="1"/>
  <c r="L136" i="3"/>
  <c r="M298" i="14" s="1"/>
  <c r="L132" i="3"/>
  <c r="M294" i="14" s="1"/>
  <c r="L129" i="3"/>
  <c r="M291" i="14" s="1"/>
  <c r="J289" i="14"/>
  <c r="K127" i="3"/>
  <c r="L289" i="14" s="1"/>
  <c r="J282" i="14"/>
  <c r="L12" i="3"/>
  <c r="M183" i="14" s="1"/>
  <c r="L9" i="3"/>
  <c r="M182" i="14" s="1"/>
  <c r="K137" i="7"/>
  <c r="L132" i="7"/>
  <c r="M171" i="14" s="1"/>
  <c r="L20" i="7"/>
  <c r="M66" i="14" s="1"/>
  <c r="J65" i="14"/>
  <c r="K13" i="5"/>
  <c r="J62" i="14"/>
  <c r="I33" i="5"/>
  <c r="I35" i="5"/>
  <c r="K132" i="3"/>
  <c r="L38" i="5" s="1"/>
  <c r="J290" i="14"/>
  <c r="L137" i="3"/>
  <c r="M299" i="14" s="1"/>
  <c r="L128" i="3"/>
  <c r="M290" i="14" s="1"/>
  <c r="H138" i="3"/>
  <c r="I21" i="5"/>
  <c r="K116" i="3"/>
  <c r="L24" i="5" s="1"/>
  <c r="L116" i="3"/>
  <c r="M280" i="14" s="1"/>
  <c r="K120" i="3"/>
  <c r="K119" i="3"/>
  <c r="K122" i="3"/>
  <c r="L30" i="5" s="1"/>
  <c r="J283" i="14"/>
  <c r="I19" i="5"/>
  <c r="L109" i="3"/>
  <c r="M275" i="14" s="1"/>
  <c r="H111" i="3"/>
  <c r="L111" i="3" s="1"/>
  <c r="M276" i="14" s="1"/>
  <c r="K93" i="3"/>
  <c r="L76" i="8" s="1"/>
  <c r="L97" i="3"/>
  <c r="M265" i="14" s="1"/>
  <c r="L28" i="3"/>
  <c r="M196" i="14" s="1"/>
  <c r="L70" i="3"/>
  <c r="M238" i="14" s="1"/>
  <c r="K82" i="3"/>
  <c r="L65" i="8" s="1"/>
  <c r="K86" i="3"/>
  <c r="L69" i="8" s="1"/>
  <c r="L77" i="3"/>
  <c r="M245" i="14" s="1"/>
  <c r="L32" i="3"/>
  <c r="M200" i="14" s="1"/>
  <c r="K36" i="3"/>
  <c r="L19" i="8" s="1"/>
  <c r="K61" i="3"/>
  <c r="L44" i="8" s="1"/>
  <c r="K81" i="3"/>
  <c r="L64" i="8" s="1"/>
  <c r="K66" i="3"/>
  <c r="L49" i="8" s="1"/>
  <c r="K78" i="3"/>
  <c r="L61" i="8" s="1"/>
  <c r="K74" i="3"/>
  <c r="L57" i="8" s="1"/>
  <c r="L40" i="3"/>
  <c r="M208" i="14" s="1"/>
  <c r="L36" i="3"/>
  <c r="M204" i="14" s="1"/>
  <c r="L20" i="3"/>
  <c r="M189" i="14" s="1"/>
  <c r="H21" i="3"/>
  <c r="L21" i="3" s="1"/>
  <c r="M190" i="14" s="1"/>
  <c r="K19" i="3"/>
  <c r="I6" i="5"/>
  <c r="I7" i="5"/>
  <c r="H139" i="7"/>
  <c r="J177" i="14" s="1"/>
  <c r="J175" i="14"/>
  <c r="L130" i="7"/>
  <c r="M169" i="14" s="1"/>
  <c r="L131" i="7"/>
  <c r="M170" i="14" s="1"/>
  <c r="K19" i="5"/>
  <c r="L91" i="7"/>
  <c r="M136" i="14" s="1"/>
  <c r="L81" i="7"/>
  <c r="M126" i="14" s="1"/>
  <c r="L82" i="7"/>
  <c r="M127" i="14" s="1"/>
  <c r="L43" i="7"/>
  <c r="M88" i="14" s="1"/>
  <c r="L105" i="7"/>
  <c r="M150" i="14" s="1"/>
  <c r="L101" i="7"/>
  <c r="M146" i="14" s="1"/>
  <c r="L31" i="7"/>
  <c r="M76" i="14" s="1"/>
  <c r="L39" i="7"/>
  <c r="M84" i="14" s="1"/>
  <c r="L61" i="7"/>
  <c r="M106" i="14" s="1"/>
  <c r="L75" i="7"/>
  <c r="M120" i="14" s="1"/>
  <c r="E7" i="8"/>
  <c r="F7" i="8" s="1"/>
  <c r="J69" i="14"/>
  <c r="L41" i="7"/>
  <c r="M86" i="14" s="1"/>
  <c r="L51" i="7"/>
  <c r="M96" i="14" s="1"/>
  <c r="L60" i="7"/>
  <c r="M105" i="14" s="1"/>
  <c r="L80" i="7"/>
  <c r="M125" i="14" s="1"/>
  <c r="L73" i="7"/>
  <c r="M118" i="14" s="1"/>
  <c r="L76" i="7"/>
  <c r="M121" i="14" s="1"/>
  <c r="L56" i="7"/>
  <c r="M101" i="14" s="1"/>
  <c r="L34" i="7"/>
  <c r="M79" i="14" s="1"/>
  <c r="L104" i="7"/>
  <c r="M149" i="14" s="1"/>
  <c r="L84" i="7"/>
  <c r="M129" i="14" s="1"/>
  <c r="L65" i="7"/>
  <c r="M110" i="14" s="1"/>
  <c r="L45" i="7"/>
  <c r="M90" i="14" s="1"/>
  <c r="L30" i="7"/>
  <c r="M75" i="14" s="1"/>
  <c r="L77" i="7"/>
  <c r="M122" i="14" s="1"/>
  <c r="L71" i="14"/>
  <c r="J68" i="14"/>
  <c r="L58" i="7"/>
  <c r="M103" i="14" s="1"/>
  <c r="L47" i="7"/>
  <c r="M92" i="14" s="1"/>
  <c r="L36" i="7"/>
  <c r="M81" i="14" s="1"/>
  <c r="E17" i="5"/>
  <c r="F17" i="5" s="1"/>
  <c r="K20" i="7"/>
  <c r="L66" i="14" s="1"/>
  <c r="L65" i="14"/>
  <c r="K16" i="5"/>
  <c r="E16" i="5"/>
  <c r="F16" i="5" s="1"/>
  <c r="E13" i="5"/>
  <c r="F13" i="5" s="1"/>
  <c r="K12" i="7"/>
  <c r="K46" i="2"/>
  <c r="L35" i="14" s="1"/>
  <c r="H40" i="14"/>
  <c r="H48" i="14"/>
  <c r="H41" i="14"/>
  <c r="L52" i="2"/>
  <c r="M41" i="14" s="1"/>
  <c r="I59" i="2"/>
  <c r="I55" i="2"/>
  <c r="K55" i="2" s="1"/>
  <c r="L44" i="14" s="1"/>
  <c r="H42" i="14"/>
  <c r="K56" i="2"/>
  <c r="L45" i="14" s="1"/>
  <c r="I57" i="2"/>
  <c r="I50" i="2"/>
  <c r="I25" i="2"/>
  <c r="H13" i="14"/>
  <c r="H10" i="14"/>
  <c r="I11" i="2"/>
  <c r="I7" i="2"/>
  <c r="I15" i="2"/>
  <c r="J10" i="14" s="1"/>
  <c r="L18" i="2"/>
  <c r="M13" i="14" s="1"/>
  <c r="I41" i="1"/>
  <c r="J17" i="1"/>
  <c r="L22" i="2"/>
  <c r="M17" i="14" s="1"/>
  <c r="I22" i="2"/>
  <c r="L122" i="7"/>
  <c r="M163" i="14" s="1"/>
  <c r="J163" i="14"/>
  <c r="K122" i="7"/>
  <c r="K30" i="5" s="1"/>
  <c r="J58" i="14"/>
  <c r="E9" i="5"/>
  <c r="F9" i="5" s="1"/>
  <c r="K10" i="7"/>
  <c r="L10" i="7"/>
  <c r="M58" i="14" s="1"/>
  <c r="L7" i="7"/>
  <c r="M55" i="14" s="1"/>
  <c r="I55" i="14"/>
  <c r="H7" i="7"/>
  <c r="F7" i="1"/>
  <c r="I36" i="14"/>
  <c r="I47" i="2"/>
  <c r="L47" i="2"/>
  <c r="M36" i="14" s="1"/>
  <c r="K123" i="7"/>
  <c r="L123" i="7"/>
  <c r="M164" i="14" s="1"/>
  <c r="K35" i="5"/>
  <c r="J164" i="14"/>
  <c r="H17" i="14"/>
  <c r="H49" i="14"/>
  <c r="M49" i="14"/>
  <c r="I60" i="2"/>
  <c r="K105" i="3"/>
  <c r="L88" i="8" s="1"/>
  <c r="L105" i="3"/>
  <c r="M273" i="14" s="1"/>
  <c r="K72" i="3"/>
  <c r="L55" i="8" s="1"/>
  <c r="L64" i="3"/>
  <c r="M232" i="14" s="1"/>
  <c r="K64" i="3"/>
  <c r="L47" i="8" s="1"/>
  <c r="K28" i="14"/>
  <c r="G9" i="2"/>
  <c r="H31" i="14"/>
  <c r="M31" i="14"/>
  <c r="J161" i="14"/>
  <c r="L120" i="7"/>
  <c r="M161" i="14" s="1"/>
  <c r="K120" i="7"/>
  <c r="L116" i="7"/>
  <c r="M157" i="14" s="1"/>
  <c r="J157" i="14"/>
  <c r="K116" i="7"/>
  <c r="K24" i="5" s="1"/>
  <c r="H7" i="3"/>
  <c r="J178" i="14" s="1"/>
  <c r="L7" i="3"/>
  <c r="M178" i="14" s="1"/>
  <c r="L189" i="14"/>
  <c r="L17" i="5"/>
  <c r="I14" i="2"/>
  <c r="L14" i="2"/>
  <c r="M9" i="14" s="1"/>
  <c r="L45" i="2"/>
  <c r="M34" i="14" s="1"/>
  <c r="H34" i="14"/>
  <c r="I58" i="2"/>
  <c r="J37" i="1"/>
  <c r="I37" i="1"/>
  <c r="J31" i="14"/>
  <c r="K42" i="2"/>
  <c r="L31" i="14" s="1"/>
  <c r="L160" i="14"/>
  <c r="J13" i="14"/>
  <c r="K18" i="2"/>
  <c r="L13" i="14" s="1"/>
  <c r="L40" i="2"/>
  <c r="M29" i="14" s="1"/>
  <c r="H29" i="14"/>
  <c r="I40" i="2"/>
  <c r="J185" i="14"/>
  <c r="K15" i="3"/>
  <c r="K91" i="3"/>
  <c r="L74" i="8" s="1"/>
  <c r="L91" i="3"/>
  <c r="M259" i="14" s="1"/>
  <c r="L87" i="3"/>
  <c r="M255" i="14" s="1"/>
  <c r="K87" i="3"/>
  <c r="L70" i="8" s="1"/>
  <c r="L76" i="3"/>
  <c r="M244" i="14" s="1"/>
  <c r="K68" i="3"/>
  <c r="L51" i="8" s="1"/>
  <c r="L19" i="2"/>
  <c r="M14" i="14" s="1"/>
  <c r="I19" i="2"/>
  <c r="K19" i="2" s="1"/>
  <c r="L14" i="14" s="1"/>
  <c r="H14" i="14"/>
  <c r="L48" i="2"/>
  <c r="M37" i="14" s="1"/>
  <c r="I48" i="2"/>
  <c r="J37" i="14" s="1"/>
  <c r="H37" i="14"/>
  <c r="J168" i="14"/>
  <c r="E35" i="5"/>
  <c r="F35" i="5" s="1"/>
  <c r="L129" i="7"/>
  <c r="M168" i="14" s="1"/>
  <c r="I6" i="8"/>
  <c r="L10" i="3"/>
  <c r="M180" i="14" s="1"/>
  <c r="K10" i="3"/>
  <c r="L181" i="14" s="1"/>
  <c r="I12" i="2"/>
  <c r="J7" i="14" s="1"/>
  <c r="H7" i="14"/>
  <c r="H38" i="14"/>
  <c r="I49" i="2"/>
  <c r="L49" i="2" s="1"/>
  <c r="M38" i="14" s="1"/>
  <c r="I6" i="14"/>
  <c r="L21" i="2"/>
  <c r="M16" i="14" s="1"/>
  <c r="I21" i="2"/>
  <c r="L49" i="7"/>
  <c r="M94" i="14" s="1"/>
  <c r="N195" i="14"/>
  <c r="L18" i="7"/>
  <c r="M64" i="14" s="1"/>
  <c r="L7" i="2"/>
  <c r="M2" i="14" s="1"/>
  <c r="K47" i="3"/>
  <c r="L30" i="8" s="1"/>
  <c r="L114" i="3"/>
  <c r="M278" i="14" s="1"/>
  <c r="K114" i="3"/>
  <c r="I43" i="2"/>
  <c r="L15" i="7"/>
  <c r="M62" i="14" s="1"/>
  <c r="L48" i="7"/>
  <c r="M93" i="14" s="1"/>
  <c r="E11" i="5"/>
  <c r="F11" i="5" s="1"/>
  <c r="L49" i="3"/>
  <c r="M217" i="14" s="1"/>
  <c r="L79" i="7"/>
  <c r="M124" i="14" s="1"/>
  <c r="L85" i="3"/>
  <c r="M253" i="14" s="1"/>
  <c r="I20" i="2"/>
  <c r="L20" i="2" s="1"/>
  <c r="M15" i="14" s="1"/>
  <c r="J287" i="14"/>
  <c r="K38" i="3"/>
  <c r="L21" i="8" s="1"/>
  <c r="J194" i="14"/>
  <c r="L57" i="2"/>
  <c r="M46" i="14" s="1"/>
  <c r="L62" i="3"/>
  <c r="M230" i="14" s="1"/>
  <c r="K62" i="3"/>
  <c r="L45" i="8" s="1"/>
  <c r="L53" i="3"/>
  <c r="M221" i="14" s="1"/>
  <c r="K53" i="3"/>
  <c r="L36" i="8" s="1"/>
  <c r="L41" i="3"/>
  <c r="M209" i="14" s="1"/>
  <c r="H8" i="7"/>
  <c r="H18" i="7"/>
  <c r="L94" i="7"/>
  <c r="M139" i="14" s="1"/>
  <c r="J20" i="1"/>
  <c r="I20" i="1"/>
  <c r="J40" i="1"/>
  <c r="I40" i="1"/>
  <c r="I23" i="5"/>
  <c r="I34" i="5"/>
  <c r="H16" i="3"/>
  <c r="L16" i="3" s="1"/>
  <c r="M186" i="14" s="1"/>
  <c r="I13" i="2"/>
  <c r="L13" i="2"/>
  <c r="M8" i="14" s="1"/>
  <c r="H8" i="14"/>
  <c r="L38" i="7"/>
  <c r="M83" i="14" s="1"/>
  <c r="K52" i="2"/>
  <c r="L41" i="14" s="1"/>
  <c r="L34" i="5"/>
  <c r="L131" i="3"/>
  <c r="M293" i="14" s="1"/>
  <c r="L32" i="7"/>
  <c r="M77" i="14" s="1"/>
  <c r="K71" i="3"/>
  <c r="L54" i="8" s="1"/>
  <c r="K130" i="7"/>
  <c r="K36" i="5" s="1"/>
  <c r="K130" i="3"/>
  <c r="L36" i="5" s="1"/>
  <c r="H16" i="14"/>
  <c r="K131" i="3"/>
  <c r="L37" i="5" s="1"/>
  <c r="H30" i="14"/>
  <c r="K131" i="7"/>
  <c r="K37" i="5" s="1"/>
  <c r="L30" i="3"/>
  <c r="M198" i="14" s="1"/>
  <c r="J278" i="14"/>
  <c r="K29" i="3"/>
  <c r="L12" i="8" s="1"/>
  <c r="L17" i="2"/>
  <c r="M12" i="14" s="1"/>
  <c r="I17" i="2"/>
  <c r="L8" i="2"/>
  <c r="M3" i="14" s="1"/>
  <c r="I8" i="2"/>
  <c r="J3" i="14" s="1"/>
  <c r="L46" i="2"/>
  <c r="M35" i="14" s="1"/>
  <c r="H35" i="14"/>
  <c r="I53" i="2"/>
  <c r="L50" i="2"/>
  <c r="M39" i="14" s="1"/>
  <c r="L117" i="3"/>
  <c r="M281" i="14" s="1"/>
  <c r="J281" i="14"/>
  <c r="L42" i="7"/>
  <c r="M87" i="14" s="1"/>
  <c r="L85" i="7"/>
  <c r="M130" i="14" s="1"/>
  <c r="L95" i="7"/>
  <c r="M140" i="14" s="1"/>
  <c r="F23" i="5"/>
  <c r="I8" i="8"/>
  <c r="L11" i="7"/>
  <c r="M59" i="14" s="1"/>
  <c r="J59" i="14"/>
  <c r="I20" i="14"/>
  <c r="H111" i="7"/>
  <c r="J153" i="14" s="1"/>
  <c r="K134" i="3"/>
  <c r="I276" i="14"/>
  <c r="I153" i="14"/>
  <c r="L134" i="3"/>
  <c r="M296" i="14" s="1"/>
  <c r="L134" i="7"/>
  <c r="M173" i="14" s="1"/>
  <c r="J173" i="14"/>
  <c r="J277" i="14"/>
  <c r="L92" i="7"/>
  <c r="M137" i="14" s="1"/>
  <c r="E33" i="5"/>
  <c r="F33" i="5" s="1"/>
  <c r="K27" i="3"/>
  <c r="L10" i="8" s="1"/>
  <c r="K45" i="3"/>
  <c r="L28" i="8" s="1"/>
  <c r="L34" i="3"/>
  <c r="M202" i="14" s="1"/>
  <c r="L63" i="3"/>
  <c r="M231" i="14" s="1"/>
  <c r="J196" i="14"/>
  <c r="L95" i="3"/>
  <c r="M263" i="14" s="1"/>
  <c r="J191" i="14"/>
  <c r="L57" i="3"/>
  <c r="M225" i="14" s="1"/>
  <c r="K23" i="3"/>
  <c r="L56" i="3"/>
  <c r="M224" i="14" s="1"/>
  <c r="L39" i="3"/>
  <c r="M207" i="14" s="1"/>
  <c r="L68" i="3"/>
  <c r="M236" i="14" s="1"/>
  <c r="L80" i="3"/>
  <c r="M248" i="14" s="1"/>
  <c r="L89" i="3"/>
  <c r="M257" i="14" s="1"/>
  <c r="L33" i="3"/>
  <c r="M201" i="14" s="1"/>
  <c r="L46" i="3"/>
  <c r="M214" i="14" s="1"/>
  <c r="K56" i="3"/>
  <c r="L39" i="8" s="1"/>
  <c r="L69" i="3"/>
  <c r="M237" i="14" s="1"/>
  <c r="L47" i="3"/>
  <c r="M215" i="14" s="1"/>
  <c r="L88" i="3"/>
  <c r="M256" i="14" s="1"/>
  <c r="E6" i="8"/>
  <c r="F6" i="8" s="1"/>
  <c r="L74" i="3"/>
  <c r="M242" i="14" s="1"/>
  <c r="K89" i="3"/>
  <c r="L72" i="8" s="1"/>
  <c r="J166" i="14"/>
  <c r="K133" i="7"/>
  <c r="K39" i="5" s="1"/>
  <c r="M39" i="5" s="1"/>
  <c r="K127" i="7"/>
  <c r="L127" i="7"/>
  <c r="M166" i="14" s="1"/>
  <c r="L44" i="7"/>
  <c r="M89" i="14" s="1"/>
  <c r="L28" i="7"/>
  <c r="M73" i="14" s="1"/>
  <c r="E8" i="8"/>
  <c r="F8" i="8" s="1"/>
  <c r="L59" i="7"/>
  <c r="M104" i="14" s="1"/>
  <c r="L88" i="7"/>
  <c r="M133" i="14" s="1"/>
  <c r="L66" i="7"/>
  <c r="M111" i="14" s="1"/>
  <c r="J70" i="14"/>
  <c r="L35" i="7"/>
  <c r="M80" i="14" s="1"/>
  <c r="L37" i="7"/>
  <c r="M82" i="14" s="1"/>
  <c r="J40" i="14"/>
  <c r="L110" i="7"/>
  <c r="K124" i="7"/>
  <c r="K113" i="3"/>
  <c r="J154" i="14"/>
  <c r="K113" i="7"/>
  <c r="I177" i="14"/>
  <c r="J285" i="14"/>
  <c r="K121" i="3"/>
  <c r="L29" i="5" s="1"/>
  <c r="L106" i="7"/>
  <c r="L19" i="5"/>
  <c r="L37" i="3"/>
  <c r="M205" i="14" s="1"/>
  <c r="K37" i="3"/>
  <c r="L20" i="8" s="1"/>
  <c r="L60" i="3"/>
  <c r="M228" i="14" s="1"/>
  <c r="K276" i="14"/>
  <c r="G34" i="1"/>
  <c r="K124" i="3"/>
  <c r="L106" i="3"/>
  <c r="L35" i="5"/>
  <c r="I300" i="14"/>
  <c r="K274" i="14"/>
  <c r="K151" i="14"/>
  <c r="K177" i="14"/>
  <c r="L57" i="7"/>
  <c r="M102" i="14" s="1"/>
  <c r="H107" i="7"/>
  <c r="L107" i="7" s="1"/>
  <c r="M151" i="14" s="1"/>
  <c r="L84" i="3"/>
  <c r="M252" i="14" s="1"/>
  <c r="I151" i="14"/>
  <c r="I45" i="2"/>
  <c r="K96" i="3"/>
  <c r="L79" i="8" s="1"/>
  <c r="H33" i="14"/>
  <c r="I44" i="2"/>
  <c r="L120" i="3"/>
  <c r="M284" i="14" s="1"/>
  <c r="L118" i="3"/>
  <c r="M282" i="14" s="1"/>
  <c r="K110" i="3"/>
  <c r="L110" i="3"/>
  <c r="H125" i="3"/>
  <c r="E19" i="5"/>
  <c r="F19" i="5" s="1"/>
  <c r="J275" i="14"/>
  <c r="L123" i="3"/>
  <c r="M287" i="14" s="1"/>
  <c r="H63" i="14"/>
  <c r="H16" i="7"/>
  <c r="L16" i="7" s="1"/>
  <c r="M63" i="14" s="1"/>
  <c r="K67" i="14"/>
  <c r="K186" i="14"/>
  <c r="K165" i="14"/>
  <c r="L40" i="7"/>
  <c r="M85" i="14" s="1"/>
  <c r="K100" i="3"/>
  <c r="L83" i="8" s="1"/>
  <c r="L103" i="7"/>
  <c r="M148" i="14" s="1"/>
  <c r="K11" i="7"/>
  <c r="E10" i="5"/>
  <c r="F10" i="5" s="1"/>
  <c r="L11" i="3"/>
  <c r="M181" i="14" s="1"/>
  <c r="L12" i="2"/>
  <c r="M7" i="14" s="1"/>
  <c r="L23" i="2"/>
  <c r="M18" i="14" s="1"/>
  <c r="I23" i="2"/>
  <c r="I24" i="2"/>
  <c r="L24" i="2"/>
  <c r="M19" i="14" s="1"/>
  <c r="E21" i="5"/>
  <c r="F21" i="5" s="1"/>
  <c r="J53" i="14" l="1"/>
  <c r="L64" i="2"/>
  <c r="M53" i="14" s="1"/>
  <c r="L298" i="14"/>
  <c r="M36" i="5"/>
  <c r="L173" i="14"/>
  <c r="J22" i="14"/>
  <c r="M37" i="5"/>
  <c r="M26" i="5"/>
  <c r="M38" i="5"/>
  <c r="L7" i="5"/>
  <c r="J47" i="14"/>
  <c r="L58" i="2"/>
  <c r="M47" i="14" s="1"/>
  <c r="K11" i="2"/>
  <c r="L6" i="14" s="1"/>
  <c r="L11" i="2"/>
  <c r="M6" i="14" s="1"/>
  <c r="K25" i="2"/>
  <c r="L20" i="14" s="1"/>
  <c r="L25" i="2"/>
  <c r="M20" i="14" s="1"/>
  <c r="L10" i="5"/>
  <c r="L104" i="14"/>
  <c r="L149" i="14"/>
  <c r="L103" i="14"/>
  <c r="L140" i="14"/>
  <c r="L102" i="14"/>
  <c r="L282" i="14"/>
  <c r="M25" i="5"/>
  <c r="L281" i="14"/>
  <c r="L11" i="5"/>
  <c r="L175" i="14"/>
  <c r="K42" i="5"/>
  <c r="L228" i="14"/>
  <c r="L43" i="8"/>
  <c r="L237" i="14"/>
  <c r="L52" i="8"/>
  <c r="L214" i="14"/>
  <c r="L29" i="8"/>
  <c r="L272" i="14"/>
  <c r="L87" i="8"/>
  <c r="L244" i="14"/>
  <c r="L59" i="8"/>
  <c r="M59" i="8" s="1"/>
  <c r="L216" i="14"/>
  <c r="L31" i="8"/>
  <c r="L245" i="14"/>
  <c r="L60" i="8"/>
  <c r="L203" i="14"/>
  <c r="L18" i="8"/>
  <c r="F43" i="5"/>
  <c r="P43" i="5"/>
  <c r="L161" i="14"/>
  <c r="K28" i="5"/>
  <c r="L220" i="14"/>
  <c r="L35" i="8"/>
  <c r="L299" i="14"/>
  <c r="L43" i="5"/>
  <c r="L124" i="14"/>
  <c r="F31" i="5"/>
  <c r="P31" i="5"/>
  <c r="F30" i="5"/>
  <c r="P30" i="5"/>
  <c r="L219" i="14"/>
  <c r="L34" i="8"/>
  <c r="M24" i="5"/>
  <c r="L283" i="14"/>
  <c r="L27" i="5"/>
  <c r="M27" i="5" s="1"/>
  <c r="L248" i="14"/>
  <c r="L63" i="8"/>
  <c r="L225" i="14"/>
  <c r="L40" i="8"/>
  <c r="L287" i="14"/>
  <c r="L31" i="5"/>
  <c r="L284" i="14"/>
  <c r="L28" i="5"/>
  <c r="L171" i="14"/>
  <c r="L247" i="14"/>
  <c r="L62" i="8"/>
  <c r="L202" i="14"/>
  <c r="L17" i="8"/>
  <c r="L148" i="14"/>
  <c r="L201" i="14"/>
  <c r="L16" i="8"/>
  <c r="M16" i="8" s="1"/>
  <c r="F42" i="5"/>
  <c r="P42" i="5"/>
  <c r="M29" i="5"/>
  <c r="L164" i="14"/>
  <c r="K31" i="5"/>
  <c r="L296" i="14"/>
  <c r="L40" i="5"/>
  <c r="M40" i="5" s="1"/>
  <c r="N30" i="5"/>
  <c r="Q30" i="5" s="1"/>
  <c r="M30" i="5"/>
  <c r="L176" i="14"/>
  <c r="K43" i="5"/>
  <c r="L231" i="14"/>
  <c r="L46" i="8"/>
  <c r="M46" i="8" s="1"/>
  <c r="L238" i="14"/>
  <c r="L53" i="8"/>
  <c r="L226" i="14"/>
  <c r="L41" i="8"/>
  <c r="L8" i="5"/>
  <c r="N8" i="5" s="1"/>
  <c r="Q8" i="5" s="1"/>
  <c r="L138" i="3"/>
  <c r="M300" i="14" s="1"/>
  <c r="J300" i="14"/>
  <c r="K10" i="2"/>
  <c r="L5" i="14" s="1"/>
  <c r="L200" i="14"/>
  <c r="L92" i="14"/>
  <c r="L94" i="14"/>
  <c r="L278" i="14"/>
  <c r="L22" i="5"/>
  <c r="N22" i="5" s="1"/>
  <c r="Q22" i="5" s="1"/>
  <c r="L98" i="14"/>
  <c r="L209" i="14"/>
  <c r="L211" i="14"/>
  <c r="M86" i="8"/>
  <c r="L198" i="14"/>
  <c r="L121" i="14"/>
  <c r="L208" i="14"/>
  <c r="F46" i="8"/>
  <c r="P46" i="8"/>
  <c r="F34" i="8"/>
  <c r="P34" i="8"/>
  <c r="F68" i="8"/>
  <c r="P68" i="8"/>
  <c r="F39" i="8"/>
  <c r="P39" i="8"/>
  <c r="F73" i="8"/>
  <c r="P73" i="8"/>
  <c r="F24" i="8"/>
  <c r="P24" i="8"/>
  <c r="F59" i="8"/>
  <c r="P59" i="8"/>
  <c r="F28" i="8"/>
  <c r="P28" i="8"/>
  <c r="F45" i="8"/>
  <c r="P45" i="8"/>
  <c r="F71" i="8"/>
  <c r="P71" i="8"/>
  <c r="F18" i="8"/>
  <c r="P18" i="8"/>
  <c r="F17" i="8"/>
  <c r="P17" i="8"/>
  <c r="F55" i="8"/>
  <c r="P55" i="8"/>
  <c r="L150" i="14"/>
  <c r="L241" i="14"/>
  <c r="F80" i="8"/>
  <c r="P80" i="8"/>
  <c r="F66" i="8"/>
  <c r="P66" i="8"/>
  <c r="F29" i="8"/>
  <c r="P29" i="8"/>
  <c r="F56" i="8"/>
  <c r="P56" i="8"/>
  <c r="F10" i="8"/>
  <c r="P10" i="8"/>
  <c r="P38" i="8"/>
  <c r="F38" i="8"/>
  <c r="F79" i="8"/>
  <c r="P79" i="8"/>
  <c r="F19" i="8"/>
  <c r="P19" i="8"/>
  <c r="F86" i="8"/>
  <c r="P86" i="8"/>
  <c r="F53" i="8"/>
  <c r="P53" i="8"/>
  <c r="F16" i="8"/>
  <c r="P16" i="8"/>
  <c r="F14" i="8"/>
  <c r="P14" i="8"/>
  <c r="L111" i="14"/>
  <c r="L137" i="14"/>
  <c r="F48" i="8"/>
  <c r="P48" i="8"/>
  <c r="F30" i="8"/>
  <c r="P30" i="8"/>
  <c r="F58" i="8"/>
  <c r="P58" i="8"/>
  <c r="F42" i="8"/>
  <c r="P42" i="8"/>
  <c r="F31" i="8"/>
  <c r="P31" i="8"/>
  <c r="F61" i="8"/>
  <c r="P61" i="8"/>
  <c r="F84" i="8"/>
  <c r="P84" i="8"/>
  <c r="F40" i="8"/>
  <c r="P40" i="8"/>
  <c r="L99" i="14"/>
  <c r="F20" i="8"/>
  <c r="P20" i="8"/>
  <c r="F44" i="8"/>
  <c r="P44" i="8"/>
  <c r="F63" i="8"/>
  <c r="P63" i="8"/>
  <c r="F50" i="8"/>
  <c r="P50" i="8"/>
  <c r="F26" i="8"/>
  <c r="P26" i="8"/>
  <c r="F11" i="8"/>
  <c r="P11" i="8"/>
  <c r="F77" i="8"/>
  <c r="P77" i="8"/>
  <c r="F33" i="8"/>
  <c r="P33" i="8"/>
  <c r="F70" i="8"/>
  <c r="P70" i="8"/>
  <c r="F88" i="8"/>
  <c r="P88" i="8"/>
  <c r="F32" i="8"/>
  <c r="P32" i="8"/>
  <c r="L138" i="14"/>
  <c r="F74" i="8"/>
  <c r="P74" i="8"/>
  <c r="F37" i="8"/>
  <c r="P37" i="8"/>
  <c r="F22" i="8"/>
  <c r="P22" i="8"/>
  <c r="F57" i="8"/>
  <c r="P57" i="8"/>
  <c r="F41" i="8"/>
  <c r="P41" i="8"/>
  <c r="F52" i="8"/>
  <c r="P52" i="8"/>
  <c r="F87" i="8"/>
  <c r="P87" i="8"/>
  <c r="F72" i="8"/>
  <c r="P72" i="8"/>
  <c r="F69" i="8"/>
  <c r="P69" i="8"/>
  <c r="F75" i="8"/>
  <c r="P75" i="8"/>
  <c r="F49" i="8"/>
  <c r="P49" i="8"/>
  <c r="F27" i="8"/>
  <c r="P27" i="8"/>
  <c r="F15" i="8"/>
  <c r="P15" i="8"/>
  <c r="F54" i="8"/>
  <c r="P54" i="8"/>
  <c r="F83" i="8"/>
  <c r="P83" i="8"/>
  <c r="F36" i="8"/>
  <c r="P36" i="8"/>
  <c r="F47" i="8"/>
  <c r="P47" i="8"/>
  <c r="F35" i="8"/>
  <c r="P35" i="8"/>
  <c r="F65" i="8"/>
  <c r="P65" i="8"/>
  <c r="L129" i="14"/>
  <c r="F78" i="8"/>
  <c r="P78" i="8"/>
  <c r="F23" i="8"/>
  <c r="P23" i="8"/>
  <c r="F21" i="8"/>
  <c r="P21" i="8"/>
  <c r="F82" i="8"/>
  <c r="P82" i="8"/>
  <c r="F13" i="8"/>
  <c r="P13" i="8"/>
  <c r="F51" i="8"/>
  <c r="P51" i="8"/>
  <c r="F81" i="8"/>
  <c r="P81" i="8"/>
  <c r="F76" i="8"/>
  <c r="P76" i="8"/>
  <c r="F67" i="8"/>
  <c r="P67" i="8"/>
  <c r="F43" i="8"/>
  <c r="P43" i="8"/>
  <c r="F62" i="8"/>
  <c r="P62" i="8"/>
  <c r="F64" i="8"/>
  <c r="P64" i="8"/>
  <c r="F60" i="8"/>
  <c r="P60" i="8"/>
  <c r="F12" i="8"/>
  <c r="P12" i="8"/>
  <c r="F25" i="8"/>
  <c r="P25" i="8"/>
  <c r="L239" i="14"/>
  <c r="L257" i="14"/>
  <c r="L254" i="14"/>
  <c r="L243" i="14"/>
  <c r="N75" i="8"/>
  <c r="Q75" i="8" s="1"/>
  <c r="L260" i="14"/>
  <c r="L273" i="14"/>
  <c r="M88" i="8"/>
  <c r="L249" i="14"/>
  <c r="L250" i="14"/>
  <c r="L253" i="14"/>
  <c r="L235" i="14"/>
  <c r="L240" i="14"/>
  <c r="L261" i="14"/>
  <c r="M76" i="8"/>
  <c r="L256" i="14"/>
  <c r="M49" i="8"/>
  <c r="L234" i="14"/>
  <c r="L262" i="14"/>
  <c r="L197" i="14"/>
  <c r="L230" i="14"/>
  <c r="L259" i="14"/>
  <c r="L229" i="14"/>
  <c r="L207" i="14"/>
  <c r="L223" i="14"/>
  <c r="L233" i="14"/>
  <c r="L246" i="14"/>
  <c r="L258" i="14"/>
  <c r="L224" i="14"/>
  <c r="L206" i="14"/>
  <c r="L265" i="14"/>
  <c r="L268" i="14"/>
  <c r="L264" i="14"/>
  <c r="L213" i="14"/>
  <c r="N30" i="8"/>
  <c r="Q30" i="8" s="1"/>
  <c r="L215" i="14"/>
  <c r="L236" i="14"/>
  <c r="L232" i="14"/>
  <c r="L204" i="14"/>
  <c r="L227" i="14"/>
  <c r="L199" i="14"/>
  <c r="L255" i="14"/>
  <c r="M33" i="8"/>
  <c r="L217" i="14"/>
  <c r="N36" i="8"/>
  <c r="Q36" i="8" s="1"/>
  <c r="L221" i="14"/>
  <c r="L212" i="14"/>
  <c r="L205" i="14"/>
  <c r="L242" i="14"/>
  <c r="L210" i="14"/>
  <c r="L263" i="14"/>
  <c r="N67" i="8"/>
  <c r="Q67" i="8" s="1"/>
  <c r="L252" i="14"/>
  <c r="L85" i="14"/>
  <c r="L73" i="14"/>
  <c r="L128" i="14"/>
  <c r="L141" i="14"/>
  <c r="L86" i="14"/>
  <c r="L139" i="14"/>
  <c r="L106" i="14"/>
  <c r="L144" i="14"/>
  <c r="L116" i="14"/>
  <c r="L146" i="14"/>
  <c r="L126" i="14"/>
  <c r="L142" i="14"/>
  <c r="L135" i="14"/>
  <c r="L72" i="14"/>
  <c r="K10" i="8"/>
  <c r="L97" i="14"/>
  <c r="L96" i="14"/>
  <c r="L112" i="14"/>
  <c r="L145" i="14"/>
  <c r="L122" i="14"/>
  <c r="L127" i="14"/>
  <c r="L105" i="14"/>
  <c r="L113" i="14"/>
  <c r="L125" i="14"/>
  <c r="L90" i="14"/>
  <c r="L76" i="14"/>
  <c r="L107" i="14"/>
  <c r="L101" i="14"/>
  <c r="L77" i="14"/>
  <c r="L136" i="14"/>
  <c r="L118" i="14"/>
  <c r="L114" i="14"/>
  <c r="L123" i="14"/>
  <c r="L84" i="14"/>
  <c r="L81" i="14"/>
  <c r="L133" i="14"/>
  <c r="L74" i="14"/>
  <c r="L130" i="14"/>
  <c r="L110" i="14"/>
  <c r="L93" i="14"/>
  <c r="L88" i="14"/>
  <c r="L91" i="14"/>
  <c r="L79" i="14"/>
  <c r="L89" i="14"/>
  <c r="L80" i="14"/>
  <c r="L83" i="14"/>
  <c r="L120" i="14"/>
  <c r="L87" i="14"/>
  <c r="L109" i="14"/>
  <c r="L115" i="14"/>
  <c r="L134" i="14"/>
  <c r="L143" i="14"/>
  <c r="L82" i="14"/>
  <c r="L131" i="14"/>
  <c r="L75" i="14"/>
  <c r="M37" i="8"/>
  <c r="N37" i="8"/>
  <c r="Q37" i="8" s="1"/>
  <c r="K64" i="2"/>
  <c r="L53" i="14" s="1"/>
  <c r="G28" i="1"/>
  <c r="J28" i="1" s="1"/>
  <c r="K16" i="2"/>
  <c r="L11" i="14" s="1"/>
  <c r="I28" i="14"/>
  <c r="F18" i="1"/>
  <c r="I54" i="14"/>
  <c r="F38" i="1"/>
  <c r="F42" i="1" s="1"/>
  <c r="L68" i="14"/>
  <c r="G29" i="1"/>
  <c r="J29" i="1" s="1"/>
  <c r="K48" i="2"/>
  <c r="L37" i="14" s="1"/>
  <c r="J20" i="14"/>
  <c r="I184" i="14"/>
  <c r="G27" i="1"/>
  <c r="J28" i="14"/>
  <c r="L15" i="5"/>
  <c r="H21" i="7"/>
  <c r="L21" i="7" s="1"/>
  <c r="M67" i="14" s="1"/>
  <c r="F9" i="1"/>
  <c r="K34" i="5"/>
  <c r="M34" i="5" s="1"/>
  <c r="P37" i="5"/>
  <c r="J30" i="14"/>
  <c r="J43" i="14"/>
  <c r="L194" i="14"/>
  <c r="P36" i="5"/>
  <c r="N24" i="5"/>
  <c r="Q24" i="5" s="1"/>
  <c r="L8" i="8"/>
  <c r="H13" i="3"/>
  <c r="J184" i="14" s="1"/>
  <c r="L192" i="14"/>
  <c r="L7" i="8"/>
  <c r="K111" i="3"/>
  <c r="L276" i="14" s="1"/>
  <c r="J32" i="1"/>
  <c r="P38" i="5"/>
  <c r="P41" i="5"/>
  <c r="P34" i="5"/>
  <c r="K17" i="5"/>
  <c r="N17" i="5" s="1"/>
  <c r="Q17" i="5" s="1"/>
  <c r="J276" i="14"/>
  <c r="L33" i="5"/>
  <c r="P8" i="5"/>
  <c r="P39" i="5"/>
  <c r="K138" i="3"/>
  <c r="L300" i="14" s="1"/>
  <c r="K139" i="7"/>
  <c r="L177" i="14" s="1"/>
  <c r="L139" i="7"/>
  <c r="M177" i="14" s="1"/>
  <c r="P9" i="5"/>
  <c r="L294" i="14"/>
  <c r="L280" i="14"/>
  <c r="N26" i="5"/>
  <c r="Q26" i="5" s="1"/>
  <c r="L286" i="14"/>
  <c r="P23" i="5"/>
  <c r="L188" i="14"/>
  <c r="L16" i="5"/>
  <c r="M16" i="5" s="1"/>
  <c r="J190" i="14"/>
  <c r="K21" i="3"/>
  <c r="L190" i="14" s="1"/>
  <c r="M35" i="5"/>
  <c r="L170" i="14"/>
  <c r="P29" i="5"/>
  <c r="M19" i="5"/>
  <c r="L111" i="7"/>
  <c r="M153" i="14" s="1"/>
  <c r="P9" i="8"/>
  <c r="K7" i="8"/>
  <c r="L69" i="14"/>
  <c r="P8" i="8"/>
  <c r="K9" i="8"/>
  <c r="P7" i="8"/>
  <c r="G141" i="7"/>
  <c r="P17" i="5"/>
  <c r="P16" i="5"/>
  <c r="P13" i="5"/>
  <c r="L60" i="14"/>
  <c r="K11" i="5"/>
  <c r="K58" i="2"/>
  <c r="L47" i="14" s="1"/>
  <c r="J44" i="14"/>
  <c r="J39" i="14"/>
  <c r="K50" i="2"/>
  <c r="L39" i="14" s="1"/>
  <c r="K57" i="2"/>
  <c r="L46" i="14" s="1"/>
  <c r="J46" i="14"/>
  <c r="J48" i="14"/>
  <c r="K59" i="2"/>
  <c r="L48" i="14" s="1"/>
  <c r="K15" i="2"/>
  <c r="L10" i="14" s="1"/>
  <c r="J6" i="14"/>
  <c r="K7" i="2"/>
  <c r="L2" i="14" s="1"/>
  <c r="J2" i="14"/>
  <c r="K12" i="2"/>
  <c r="L7" i="14" s="1"/>
  <c r="K8" i="2"/>
  <c r="L3" i="14" s="1"/>
  <c r="K17" i="2"/>
  <c r="L12" i="14" s="1"/>
  <c r="J12" i="14"/>
  <c r="L185" i="14"/>
  <c r="L13" i="5"/>
  <c r="J49" i="14"/>
  <c r="K60" i="2"/>
  <c r="L49" i="14" s="1"/>
  <c r="L292" i="14"/>
  <c r="J16" i="14"/>
  <c r="K21" i="2"/>
  <c r="L16" i="14" s="1"/>
  <c r="L9" i="5"/>
  <c r="I61" i="14"/>
  <c r="G7" i="1"/>
  <c r="L163" i="14"/>
  <c r="K111" i="7"/>
  <c r="L153" i="14" s="1"/>
  <c r="J14" i="14"/>
  <c r="L169" i="14"/>
  <c r="K13" i="2"/>
  <c r="L8" i="14" s="1"/>
  <c r="J8" i="14"/>
  <c r="I67" i="14"/>
  <c r="J29" i="14"/>
  <c r="K40" i="2"/>
  <c r="L29" i="14" s="1"/>
  <c r="L157" i="14"/>
  <c r="L9" i="2"/>
  <c r="M4" i="14" s="1"/>
  <c r="I9" i="2"/>
  <c r="H4" i="14"/>
  <c r="H13" i="7"/>
  <c r="J55" i="14"/>
  <c r="K7" i="7"/>
  <c r="L58" i="14"/>
  <c r="K9" i="5"/>
  <c r="E15" i="5"/>
  <c r="F15" i="5" s="1"/>
  <c r="J64" i="14"/>
  <c r="K18" i="7"/>
  <c r="K20" i="2"/>
  <c r="L15" i="14" s="1"/>
  <c r="J15" i="14"/>
  <c r="P11" i="5"/>
  <c r="E6" i="5"/>
  <c r="F6" i="5" s="1"/>
  <c r="K7" i="3"/>
  <c r="L178" i="14" s="1"/>
  <c r="K8" i="7"/>
  <c r="J56" i="14"/>
  <c r="E7" i="5"/>
  <c r="F7" i="5" s="1"/>
  <c r="J17" i="14"/>
  <c r="K22" i="2"/>
  <c r="L17" i="14" s="1"/>
  <c r="M28" i="14"/>
  <c r="P35" i="5"/>
  <c r="J42" i="14"/>
  <c r="K53" i="2"/>
  <c r="L42" i="14" s="1"/>
  <c r="L293" i="14"/>
  <c r="K16" i="3"/>
  <c r="L186" i="14" s="1"/>
  <c r="J186" i="14"/>
  <c r="L43" i="2"/>
  <c r="M32" i="14" s="1"/>
  <c r="H32" i="14"/>
  <c r="K49" i="2"/>
  <c r="L38" i="14" s="1"/>
  <c r="J38" i="14"/>
  <c r="J9" i="14"/>
  <c r="K14" i="2"/>
  <c r="L9" i="14" s="1"/>
  <c r="H28" i="14"/>
  <c r="K47" i="2"/>
  <c r="L36" i="14" s="1"/>
  <c r="J36" i="14"/>
  <c r="P40" i="5"/>
  <c r="P33" i="5"/>
  <c r="N35" i="5"/>
  <c r="Q35" i="5" s="1"/>
  <c r="L195" i="14"/>
  <c r="P6" i="8"/>
  <c r="L191" i="14"/>
  <c r="L6" i="8"/>
  <c r="L166" i="14"/>
  <c r="K33" i="5"/>
  <c r="L172" i="14"/>
  <c r="K8" i="8"/>
  <c r="L277" i="14"/>
  <c r="L21" i="5"/>
  <c r="L154" i="14"/>
  <c r="K21" i="5"/>
  <c r="P21" i="5"/>
  <c r="L285" i="14"/>
  <c r="N19" i="5"/>
  <c r="Q19" i="5" s="1"/>
  <c r="N25" i="5"/>
  <c r="Q25" i="5" s="1"/>
  <c r="G14" i="1"/>
  <c r="I14" i="1" s="1"/>
  <c r="I36" i="1"/>
  <c r="J36" i="1"/>
  <c r="J16" i="1"/>
  <c r="I16" i="1"/>
  <c r="K107" i="7"/>
  <c r="L151" i="14" s="1"/>
  <c r="I10" i="1"/>
  <c r="J151" i="14"/>
  <c r="H42" i="1"/>
  <c r="I34" i="1"/>
  <c r="J34" i="1"/>
  <c r="G30" i="1"/>
  <c r="H107" i="3"/>
  <c r="I274" i="14"/>
  <c r="K10" i="5"/>
  <c r="L59" i="14"/>
  <c r="K16" i="7"/>
  <c r="L63" i="14" s="1"/>
  <c r="J63" i="14"/>
  <c r="J288" i="14"/>
  <c r="L125" i="3"/>
  <c r="M288" i="14" s="1"/>
  <c r="K125" i="3"/>
  <c r="L288" i="14" s="1"/>
  <c r="H22" i="1"/>
  <c r="P27" i="5"/>
  <c r="P26" i="5"/>
  <c r="K23" i="2"/>
  <c r="L18" i="14" s="1"/>
  <c r="J18" i="14"/>
  <c r="K125" i="7"/>
  <c r="L165" i="14" s="1"/>
  <c r="J165" i="14"/>
  <c r="L125" i="7"/>
  <c r="M165" i="14" s="1"/>
  <c r="P25" i="5"/>
  <c r="J33" i="14"/>
  <c r="K44" i="2"/>
  <c r="L33" i="14" s="1"/>
  <c r="K45" i="2"/>
  <c r="L34" i="14" s="1"/>
  <c r="J34" i="14"/>
  <c r="P24" i="5"/>
  <c r="P28" i="5"/>
  <c r="J19" i="14"/>
  <c r="K24" i="2"/>
  <c r="L19" i="14" s="1"/>
  <c r="P10" i="5"/>
  <c r="J8" i="1"/>
  <c r="I8" i="1"/>
  <c r="P19" i="5"/>
  <c r="J12" i="1"/>
  <c r="I12" i="1"/>
  <c r="L65" i="2"/>
  <c r="M54" i="14" s="1"/>
  <c r="H54" i="14"/>
  <c r="I65" i="2"/>
  <c r="K43" i="2"/>
  <c r="L32" i="14" s="1"/>
  <c r="J32" i="14"/>
  <c r="N11" i="5" l="1"/>
  <c r="Q11" i="5" s="1"/>
  <c r="M28" i="5"/>
  <c r="N31" i="5"/>
  <c r="Q31" i="5" s="1"/>
  <c r="M43" i="5"/>
  <c r="N43" i="5"/>
  <c r="Q43" i="5" s="1"/>
  <c r="M8" i="5"/>
  <c r="M42" i="5"/>
  <c r="N42" i="5"/>
  <c r="Q42" i="5" s="1"/>
  <c r="M31" i="5"/>
  <c r="N87" i="8"/>
  <c r="Q87" i="8" s="1"/>
  <c r="M42" i="8"/>
  <c r="M40" i="8"/>
  <c r="M87" i="8"/>
  <c r="N16" i="8"/>
  <c r="Q16" i="8" s="1"/>
  <c r="N86" i="8"/>
  <c r="Q86" i="8" s="1"/>
  <c r="N40" i="8"/>
  <c r="Q40" i="8" s="1"/>
  <c r="N41" i="8"/>
  <c r="Q41" i="8" s="1"/>
  <c r="M22" i="5"/>
  <c r="N8" i="8"/>
  <c r="Q8" i="8" s="1"/>
  <c r="M78" i="8"/>
  <c r="N88" i="8"/>
  <c r="Q88" i="8" s="1"/>
  <c r="N33" i="8"/>
  <c r="Q33" i="8" s="1"/>
  <c r="M41" i="8"/>
  <c r="N59" i="8"/>
  <c r="Q59" i="8" s="1"/>
  <c r="N62" i="8"/>
  <c r="Q62" i="8" s="1"/>
  <c r="M67" i="8"/>
  <c r="M62" i="8"/>
  <c r="N46" i="8"/>
  <c r="Q46" i="8" s="1"/>
  <c r="N76" i="8"/>
  <c r="Q76" i="8" s="1"/>
  <c r="M36" i="8"/>
  <c r="N42" i="8"/>
  <c r="Q42" i="8" s="1"/>
  <c r="M30" i="8"/>
  <c r="N40" i="5"/>
  <c r="Q40" i="5" s="1"/>
  <c r="N57" i="8"/>
  <c r="Q57" i="8" s="1"/>
  <c r="M57" i="8"/>
  <c r="M55" i="8"/>
  <c r="N55" i="8"/>
  <c r="Q55" i="8" s="1"/>
  <c r="N49" i="8"/>
  <c r="Q49" i="8" s="1"/>
  <c r="N78" i="8"/>
  <c r="Q78" i="8" s="1"/>
  <c r="M75" i="8"/>
  <c r="N70" i="8"/>
  <c r="Q70" i="8" s="1"/>
  <c r="M70" i="8"/>
  <c r="M38" i="8"/>
  <c r="N38" i="8"/>
  <c r="Q38" i="8" s="1"/>
  <c r="M26" i="8"/>
  <c r="N26" i="8"/>
  <c r="Q26" i="8" s="1"/>
  <c r="M22" i="8"/>
  <c r="N22" i="8"/>
  <c r="Q22" i="8" s="1"/>
  <c r="M56" i="8"/>
  <c r="N56" i="8"/>
  <c r="Q56" i="8" s="1"/>
  <c r="M14" i="8"/>
  <c r="N14" i="8"/>
  <c r="Q14" i="8" s="1"/>
  <c r="M51" i="8"/>
  <c r="N51" i="8"/>
  <c r="Q51" i="8" s="1"/>
  <c r="N35" i="8"/>
  <c r="Q35" i="8" s="1"/>
  <c r="M35" i="8"/>
  <c r="M69" i="8"/>
  <c r="N69" i="8"/>
  <c r="Q69" i="8" s="1"/>
  <c r="M72" i="8"/>
  <c r="N72" i="8"/>
  <c r="Q72" i="8" s="1"/>
  <c r="M25" i="8"/>
  <c r="N25" i="8"/>
  <c r="Q25" i="8" s="1"/>
  <c r="M21" i="8"/>
  <c r="N21" i="8"/>
  <c r="Q21" i="8" s="1"/>
  <c r="M68" i="8"/>
  <c r="N68" i="8"/>
  <c r="Q68" i="8" s="1"/>
  <c r="M39" i="8"/>
  <c r="N39" i="8"/>
  <c r="Q39" i="8" s="1"/>
  <c r="M83" i="8"/>
  <c r="N83" i="8"/>
  <c r="Q83" i="8" s="1"/>
  <c r="N80" i="8"/>
  <c r="Q80" i="8" s="1"/>
  <c r="M80" i="8"/>
  <c r="M54" i="8"/>
  <c r="N54" i="8"/>
  <c r="Q54" i="8" s="1"/>
  <c r="M77" i="8"/>
  <c r="N77" i="8"/>
  <c r="Q77" i="8" s="1"/>
  <c r="N66" i="8"/>
  <c r="Q66" i="8" s="1"/>
  <c r="M66" i="8"/>
  <c r="N18" i="8"/>
  <c r="Q18" i="8" s="1"/>
  <c r="M18" i="8"/>
  <c r="M31" i="8"/>
  <c r="N31" i="8"/>
  <c r="Q31" i="8" s="1"/>
  <c r="M50" i="8"/>
  <c r="N50" i="8"/>
  <c r="Q50" i="8" s="1"/>
  <c r="M10" i="8"/>
  <c r="N10" i="8"/>
  <c r="Q10" i="8" s="1"/>
  <c r="M11" i="8"/>
  <c r="N11" i="8"/>
  <c r="Q11" i="8" s="1"/>
  <c r="M20" i="8"/>
  <c r="N20" i="8"/>
  <c r="Q20" i="8" s="1"/>
  <c r="M53" i="8"/>
  <c r="N53" i="8"/>
  <c r="Q53" i="8" s="1"/>
  <c r="M58" i="8"/>
  <c r="N58" i="8"/>
  <c r="Q58" i="8" s="1"/>
  <c r="M17" i="8"/>
  <c r="N17" i="8"/>
  <c r="Q17" i="8" s="1"/>
  <c r="M12" i="8"/>
  <c r="N12" i="8"/>
  <c r="Q12" i="8" s="1"/>
  <c r="N61" i="8"/>
  <c r="Q61" i="8" s="1"/>
  <c r="M61" i="8"/>
  <c r="M74" i="8"/>
  <c r="N74" i="8"/>
  <c r="Q74" i="8" s="1"/>
  <c r="M28" i="8"/>
  <c r="N28" i="8"/>
  <c r="Q28" i="8" s="1"/>
  <c r="M43" i="8"/>
  <c r="N43" i="8"/>
  <c r="Q43" i="8" s="1"/>
  <c r="M65" i="8"/>
  <c r="N65" i="8"/>
  <c r="Q65" i="8" s="1"/>
  <c r="M64" i="8"/>
  <c r="N64" i="8"/>
  <c r="Q64" i="8" s="1"/>
  <c r="M82" i="8"/>
  <c r="N82" i="8"/>
  <c r="Q82" i="8" s="1"/>
  <c r="M24" i="8"/>
  <c r="N24" i="8"/>
  <c r="Q24" i="8" s="1"/>
  <c r="M13" i="8"/>
  <c r="N13" i="8"/>
  <c r="Q13" i="8" s="1"/>
  <c r="M47" i="8"/>
  <c r="N47" i="8"/>
  <c r="Q47" i="8" s="1"/>
  <c r="M32" i="8"/>
  <c r="N32" i="8"/>
  <c r="Q32" i="8" s="1"/>
  <c r="M19" i="8"/>
  <c r="N19" i="8"/>
  <c r="Q19" i="8" s="1"/>
  <c r="M34" i="8"/>
  <c r="N34" i="8"/>
  <c r="Q34" i="8" s="1"/>
  <c r="M44" i="8"/>
  <c r="N44" i="8"/>
  <c r="Q44" i="8" s="1"/>
  <c r="M81" i="8"/>
  <c r="N81" i="8"/>
  <c r="Q81" i="8" s="1"/>
  <c r="M27" i="8"/>
  <c r="N27" i="8"/>
  <c r="Q27" i="8" s="1"/>
  <c r="M29" i="8"/>
  <c r="N29" i="8"/>
  <c r="Q29" i="8" s="1"/>
  <c r="M48" i="8"/>
  <c r="N48" i="8"/>
  <c r="Q48" i="8" s="1"/>
  <c r="M71" i="8"/>
  <c r="N71" i="8"/>
  <c r="Q71" i="8" s="1"/>
  <c r="M52" i="8"/>
  <c r="N52" i="8"/>
  <c r="Q52" i="8" s="1"/>
  <c r="M15" i="8"/>
  <c r="N15" i="8"/>
  <c r="Q15" i="8" s="1"/>
  <c r="M45" i="8"/>
  <c r="N45" i="8"/>
  <c r="Q45" i="8" s="1"/>
  <c r="M63" i="8"/>
  <c r="N63" i="8"/>
  <c r="Q63" i="8" s="1"/>
  <c r="M60" i="8"/>
  <c r="N60" i="8"/>
  <c r="Q60" i="8" s="1"/>
  <c r="M73" i="8"/>
  <c r="N73" i="8"/>
  <c r="Q73" i="8" s="1"/>
  <c r="M84" i="8"/>
  <c r="N84" i="8"/>
  <c r="Q84" i="8" s="1"/>
  <c r="M79" i="8"/>
  <c r="N79" i="8"/>
  <c r="Q79" i="8" s="1"/>
  <c r="N23" i="8"/>
  <c r="Q23" i="8" s="1"/>
  <c r="M23" i="8"/>
  <c r="N34" i="5"/>
  <c r="Q34" i="5" s="1"/>
  <c r="I28" i="1"/>
  <c r="K13" i="3"/>
  <c r="L184" i="14" s="1"/>
  <c r="F22" i="1"/>
  <c r="K33" i="2"/>
  <c r="L28" i="14" s="1"/>
  <c r="L13" i="3"/>
  <c r="M184" i="14" s="1"/>
  <c r="G9" i="1"/>
  <c r="J9" i="1" s="1"/>
  <c r="I29" i="1"/>
  <c r="J67" i="14"/>
  <c r="K21" i="7"/>
  <c r="L67" i="14" s="1"/>
  <c r="N16" i="5"/>
  <c r="Q16" i="5" s="1"/>
  <c r="N41" i="5"/>
  <c r="Q41" i="5" s="1"/>
  <c r="M17" i="5"/>
  <c r="P7" i="5"/>
  <c r="N38" i="5"/>
  <c r="Q38" i="5" s="1"/>
  <c r="N27" i="5"/>
  <c r="Q27" i="5" s="1"/>
  <c r="M7" i="8"/>
  <c r="N7" i="8"/>
  <c r="Q7" i="8" s="1"/>
  <c r="M9" i="8"/>
  <c r="N9" i="8"/>
  <c r="Q9" i="8" s="1"/>
  <c r="M11" i="5"/>
  <c r="N13" i="5"/>
  <c r="Q13" i="5" s="1"/>
  <c r="M13" i="5"/>
  <c r="E22" i="1"/>
  <c r="G18" i="1"/>
  <c r="L64" i="14"/>
  <c r="K15" i="5"/>
  <c r="L55" i="14"/>
  <c r="K6" i="5"/>
  <c r="N23" i="5"/>
  <c r="Q23" i="5" s="1"/>
  <c r="M23" i="5"/>
  <c r="L6" i="5"/>
  <c r="J4" i="14"/>
  <c r="K9" i="2"/>
  <c r="L4" i="14" s="1"/>
  <c r="N29" i="5"/>
  <c r="Q29" i="5" s="1"/>
  <c r="N37" i="5"/>
  <c r="Q37" i="5" s="1"/>
  <c r="L56" i="14"/>
  <c r="K7" i="5"/>
  <c r="P6" i="5"/>
  <c r="P15" i="5"/>
  <c r="N9" i="5"/>
  <c r="Q9" i="5" s="1"/>
  <c r="M9" i="5"/>
  <c r="L13" i="7"/>
  <c r="M61" i="14" s="1"/>
  <c r="K13" i="7"/>
  <c r="L61" i="14" s="1"/>
  <c r="J61" i="14"/>
  <c r="N36" i="5"/>
  <c r="Q36" i="5" s="1"/>
  <c r="J7" i="1"/>
  <c r="I7" i="1"/>
  <c r="N6" i="8"/>
  <c r="Q6" i="8" s="1"/>
  <c r="M6" i="8"/>
  <c r="N39" i="5"/>
  <c r="Q39" i="5" s="1"/>
  <c r="N33" i="5"/>
  <c r="Q33" i="5" s="1"/>
  <c r="M33" i="5"/>
  <c r="M8" i="8"/>
  <c r="N21" i="5"/>
  <c r="Q21" i="5" s="1"/>
  <c r="M21" i="5"/>
  <c r="N28" i="5"/>
  <c r="Q28" i="5" s="1"/>
  <c r="J14" i="1"/>
  <c r="G38" i="1"/>
  <c r="E42" i="1"/>
  <c r="J30" i="1"/>
  <c r="I30" i="1"/>
  <c r="J54" i="14"/>
  <c r="K65" i="2"/>
  <c r="L54" i="14" s="1"/>
  <c r="I27" i="1"/>
  <c r="J27" i="1"/>
  <c r="N10" i="5"/>
  <c r="Q10" i="5" s="1"/>
  <c r="M10" i="5"/>
  <c r="J274" i="14"/>
  <c r="L107" i="3"/>
  <c r="M274" i="14" s="1"/>
  <c r="K107" i="3"/>
  <c r="L274" i="14" s="1"/>
  <c r="I9" i="1" l="1"/>
  <c r="M6" i="5"/>
  <c r="G22" i="1"/>
  <c r="J22" i="1" s="1"/>
  <c r="N7" i="5"/>
  <c r="Q7" i="5" s="1"/>
  <c r="M7" i="5"/>
  <c r="M15" i="5"/>
  <c r="N15" i="5"/>
  <c r="Q15" i="5" s="1"/>
  <c r="N6" i="5"/>
  <c r="Q6" i="5" s="1"/>
  <c r="J18" i="1"/>
  <c r="I18" i="1"/>
  <c r="G42" i="1"/>
  <c r="J42" i="1" s="1"/>
  <c r="J38" i="1"/>
  <c r="I38" i="1"/>
  <c r="I22" i="1" l="1"/>
  <c r="I42" i="1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F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775-24 Cede -1079,624 a IX Región.</t>
        </r>
      </text>
    </comment>
  </commentList>
</comments>
</file>

<file path=xl/comments2.xml><?xml version="1.0" encoding="utf-8"?>
<comments xmlns="http://schemas.openxmlformats.org/spreadsheetml/2006/main">
  <authors>
    <author>GALAY BARRIENTOS, ARISTOTELES</author>
    <author>PEREZ SALGADO, NICOLAS RODRIGO</author>
    <author>Nico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558-24 Cede -10017,562 hacia Emb VIII.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Cede -174,945 ton hacia Org 13 VIII.</t>
        </r>
      </text>
    </comment>
    <comment ref="C15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1096-24 Modf Res 21-24.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Cede -640,428 ton hacia Org 73 VIII.
Res 1236-24 Deja sin efecto Res 824-24.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792-24 Cede -347,239 ton hacia Org 37 VIII.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671-24 Cede -57,6 ton hacia Org 16 VIII.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Cede -653 ton hacia Org 79 VIII.
Res 1145-24 Modf Res 412-24 Cede -453 ton.
Res 433-24 Cede -241 ton hacia Org 79 VIII.
Res 435-24 Cede -200 ton hacia Org 20 VIII.
Res 434-24 Cede -487 ton hacia Org 14 VIII.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498-24 Cede -150 ton hacia Org 20 VIII.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696-24 Cede -5 ton hacia Emb VIII.
Res 1143-24 Incremento de 100 ton desde Org 54 VIII.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764-24 Cede -20 ton hacia Emb VIII.</t>
        </r>
      </text>
    </comment>
    <comment ref="G34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1132-24 Cede -75 ton hacia Emb VIII.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Incremento de 174,945 ton desde Org 2 V.
Res 297-24 Cede -200 ton hacia Emb VIII.
Res 414-24 Incremento de 100 ton desde Org 74 VIII.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434-24 Incremento de 487 ton desde Org 5 VIII.
Res 669-24 Incremento de 246 ton desde Org 62 VIII.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Incremento de 35,1 ton desde Org 30 VIII.
Res 295-24 Incremento de 50 ton desde Org 35 VIII.
Res 423-24 Cede -200 ton hacia Org 20 VIII.
Res 633-24 Incremento de 10 ton desde Org 35 VIII.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Incremento de 1770 ton desde Org 47 VIII.
Res 671-24 Incremento de 57,6 ton desde Org 1 VIII.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1165-24 Cede -100 ton hacia Emb XIV.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645-24 Cede -50 ton hacia Emb VIII.
Res 557-24 Cede -241 ton hacia Emb VIII.
Res 876-24 Cede -250 ton hacia Org 20 VIII.
Res 877-24 Cede -250 ton hacia Emb VIII.
Res 1167-24 Cede -435 ton hacia Emb XIV.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373-24 Incremento de 60,6 ton desde Org 30 VIII.
Res 411-24 Incremento de 100 ton desde Org 37 VIII.
Res 423-24 Incremento de 200 ton desde Org 15 VIII.
Res 435-24 Incremento de 200 ton desde Org 5 VIII.
Res 436-24 Incremento de 28,7 ton desde Org 52 VIII.
Res 475-24 Incremento de 1260 ton desde Org 71 VIII.
Res 492-24 Incremento de 158 ton desde Org 58 VIII.
Res 498-24 Incremento de 150 ton desde Org 6 VIII.
Res 507-24 Incremento de 50 ton desde Org 37 VIII.
Res 630-24 Incremento de 600 ton desde Org 47 VIII.
Res 554-24 Incremento de 143 ton desde Org 3 X.
Res 772-24 Cede -50 ton hacia Emb VIII.
Res 863-24 Incremento de 358 ton desde Org 6 XIV.
Res 876-24 Incremento de 250 ton desde Org 18 VIII.
Res 1389-24 Incremento de 363,25 ton desde Org 71 VIII.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982-24 Cede -50 ton hacia Emb XIV.
Res 1169-24 Cede -200 ton hacia Emb XIV.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Cede -35,1 ton hacia Org 15 VIII.
Res 373-24 Cede -60,6 ton hacia Org 20 VIII.
Res 1275-24 Cede -0,04 ton hacia Emb VIII.</t>
        </r>
      </text>
    </comment>
    <comment ref="G5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1036-24 Cede -120 ton hacia Emb XIV.
Res 1037-24 Cede -120 ton hacia Emb XIV.
Res 1070-24 Cede -120 ton hacia Emb XIV.
Res 1105-24 Cede -120 ton hacia Emb XIV.</t>
        </r>
      </text>
    </comment>
    <comment ref="G5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Cede -315 ton hacia Org 46 VIII.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295-24 Cede -50 ton hacia Org 15 VIII.
Res 633-24 Cede -10 ton hacia Org 15 VIII.
Res 752-24 Cede -20 ton hacia Org 37 VIII.
Res 753-24 Incremento de 94,7 ton desde Org 37 VIII.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766-24 Cede -20 ton hacia Emb VIII.
Res 477-24 Cede -20 ton hacia Emb VIII.
Res 1582-24 Cede -200 ton hacia Org 59 VIII.</t>
        </r>
      </text>
    </comment>
    <comment ref="G5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398-24 Cede -100 ton hacia Emb VIII.
Res 411-24 Cede -100 ton hacia Org 20 VIII.
Res 506-24 Cede -10 ton hacia Emb VIII.
Res 507-24 Cede -50 ton hacia Org 20 VIII.
Res 752-24 Incremento de 20 ton desde Org 35 VIII.
Res 753-24 Cede -94,7 ton hacia Org 35 VIII.
Res 754-24 Cede -37 ton hacia Org 55 VIII.
Res 792-24 Incremento de 347,239 ton desde Org 2 VII.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509-24 Incremento de 300 ton desde Org 5 X.
Res 1112-24 Cede -10 ton hacia Emb VIII.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Cede -150 ton hacia Emb XIV.
Res 294-24 Cede -100 ton hacia Emb VIII.
Res 1111-24 Cede -100 ton hacia Org 5 XIV.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1237-24 Cede -630,129 ton hacia Emb IX.</t>
        </r>
      </text>
    </comment>
    <comment ref="G65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1140-24 Cede -70 ton hacia Emb VIII.</t>
        </r>
      </text>
    </comment>
    <comment ref="G6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631-24 Cede -400 ton hacia Org 79 VIII.
Res 1417-24 Cede -150 ton hacia Emb VIII.
Res 1447-24 Cede -100 ton hacia Emb VIII.</t>
        </r>
      </text>
    </comment>
    <comment ref="G6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Incremento de 315 ton desde Org 32 VIII.</t>
        </r>
      </text>
    </comment>
    <comment ref="G6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Cede -1770 ton hacia Org 16 VIII.
Res 630-24 Cede -600 ton hacia Org 20 VIII.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638-24 Cede -1 ton hacia Emb VIII.
Res 1138-24 Cede -40 ton hacia Emb VIII.
Res 1139-24 Cede -40 ton hacia Emb VIII.
Res 1390-24 Cede -25 ton hacia Emb VIII.
Res 1432-24 Cede -100 ton hacia Emb IX.</t>
        </r>
      </text>
    </comment>
    <comment ref="G72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1064-24 Cede -9 ton hacia Emb VIII.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Incremento de 150 ton desde Org 82 VIII.</t>
        </r>
      </text>
    </comment>
    <comment ref="G7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436-24 Cede -28,7 ton hacia Org 20 VIII.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572-24 Cede -20 ton hacia Emb VIII.
Res 756-24 Cede -20 ton hacia Emb VIII.
Res 1133-24 Cede -20 ton hacia Emb VIII.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Cede -7 ton hacia Org 70 VIII.
Res 1143-24 Cede -100 ton hacia Org 7 VIII.</t>
        </r>
      </text>
    </comment>
    <comment ref="G7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440-24 Cede -66 ton hacia Emb VIII.
Res 754-24 Incremento de 37 ton desde Org 37 VIII.
Res 893-24 Cede -472 ton hacia Emb IX.
Res 979-24 Cede -127 ton hacia Emb IX.
Res 980-24 Cede -400 ton hacia Emb IX.
Res 1066-24 Cede -50 ton hacia Emb VIII.</t>
        </r>
      </text>
    </comment>
    <comment ref="G7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Incremento de 200 ton desde Org 9 XIV.
Res 635-24 Incremento de 143 ton desde Org 3 X.
Res 565-24 Incremento de 100 ton desde Org 2 X.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492-24 Cede -158 ton hacia Org 20 VIII.</t>
        </r>
      </text>
    </comment>
    <comment ref="G81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Incremento de 200 ton desde Org 2 X.
Res 357-24 Rectifica Res 275-24 desde Org 5 X.
Res 343-24 Incremento de 200 ton desde Org 2 X.
Res 357-24 Deja sin efecto Res 343-24.
Res 374-24 Cede -100 ton hacia Emb VIII.
Res 536-24 Incremento de 119 ton desde Org 3 X.
Res 639-24 Cede -2 ton hacia Emb VIII.
Res 562-24 Incremento de 978,158 ton desde Org 8 X.
Res 1582-24 Incremento de 200 ton desde Org 36 VIII.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669-24 Cede -246 ton hacia Org 14 VIII.
Res 841-24 Cede -290 ton hacia Emb XIV.</t>
        </r>
      </text>
    </comment>
    <comment ref="G8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818-24 Cede -250 ton hacia Emb XIV.</t>
        </r>
      </text>
    </comment>
    <comment ref="G8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342-22 Incremento de 120 ton desde Org 9 X.</t>
        </r>
      </text>
    </comment>
    <comment ref="G8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481-24 Cede -2 ton hacia Emb VIII.</t>
        </r>
      </text>
    </comment>
    <comment ref="G90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821-24 Incremento de 70 ton desde Org 7 X.</t>
        </r>
      </text>
    </comment>
    <comment ref="G9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Incremento de 7 ton desde Org 54 VIII.
</t>
        </r>
      </text>
    </comment>
    <comment ref="G9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475-24 Cede -1260 ton hacia Org 20 VIII.
Res 1389-24 Cede -363,25 ton hacia Org 20 VIII.</t>
        </r>
      </text>
    </comment>
    <comment ref="G9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Incremento de 640,428 ton desde Org 1 VII.
Res 1236-24 Deja sin efecto Res 824-24.</t>
        </r>
      </text>
    </comment>
    <comment ref="G9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414-24 Cede -100 ton hacia Org 13 VIII.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Incremento de 653 ton desde Org 5 VIII.
Res 1145-24 Modf Res 412-24 Incremento de 453 ton.
Res 433-24 Incremento de 241 ton desde Org 5 VIII.
Res 631-24 Incremento de 400 ton desde Org 44 VIII.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Cede -150 ton hacia Org 51 VIII.
Res 790-24 Incremento de 247,1 ton desde Org 10 XIV.</t>
        </r>
      </text>
    </comment>
    <comment ref="M10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70-24 Cierre cuota.</t>
        </r>
      </text>
    </comment>
    <comment ref="G10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Incremento de 3583 ton desde LTP ORIZON S.A.
Res 341-24 Incremento de 350 ton desde Org 2 X.
Res 340-24 Incremento de 365,855 ton desde Org 2 XIV.
Res 377-24 Incremento de 297,6 ton desde LTP PEDRO IRIGOYEN LIMITADA.
Res 376-24 Incremento de 100 ton desde Org 1 X.
Res 404-24 Incremento de 184,923 ton desde Org 1 X.
Res 427-24 Incremento de 181 ton desde LTP LANDES S.A.
Res 428-24 Incremento de 3712,9 ton desde LTP ALIMENTOS MARINOS S.A.
Res 1480-24 Modf Res 428-24 Incremento de 2757,9 ton.
Res 1566-24 Modf Res 428-24 Incremento de 2283,9 ton.
Res 455-24 Incremento de 518,570 ton desde Org 4 X.
Res 294-24 Incremento de 100 ton desde Org 41 VIII.
Res 297-24 Incremento de 200 ton desde Org 13 VIII.
Res 374-24 Incremento de 100 ton desde Org 59 VIII.
Res 398-24 Incremento de 100 ton desde Org 37 VIII.
Res 440-24 Incremento de 66 ton desde Org 55 VIII.
Res 481-24 Incremento de 2 ton desde Org 66 VIII.
Res 493-24 Incremento de 4955,05 ton desde LTP CAMANCHACA PESCA SUR S.A.
Res 495-24 Incremento de 560 ton desde LTP BLUMAR S.A.
Res 496-24 Incremento de 850 ton desde LTP BLUMAR S.A.
Res 506-24 Incremento de 10 ton desde Org 37 VIII.
Res 523-24 Incremento de 285 ton desde LTP ORIZON S.A.
Res 537-24 Incremento de 175 ton desde LTP ORIZON S.A.
Res 572-24 Incremento de 20 ton desde Org 53 VIII.
Res 589-24 Incremento de 2406,950 ton desde LTP ALIMENTOS MARINOS S.A.
Res 1565-24 Modf Res 589-24 Incremento de 1898,950 ton.
Res 604-24 Incremento de 429 ton desde LTP LANDES S.A.
Res 1362-2 Modf Res 604-24 Incremento de 326 ton.
Res 605-24 Incremento de 2001 ton desde LTP CAMANCHACA PESCA SUR S.A. 
Res 607-24 Incremento de 154 ton desde LTP LANDES S.A.
Res 606-24 Incremento de 120 ton desde LTP FOODCORP CHILE S.A.
Res 610-24 Incremento de 240 ton desde LTP LANDES S.A.
Res 472-24 Incremento de 747 ton desde LTP FOODCORP CHILE S.A.
Res 622-24 Modf Res 472-24 Incremento de 945 ton.
Res 623-24 Incremento de 100 ton desde LTP ALIMENTOS MARINOS S.A.
Res 473-24 Incremento de 1963 ton desde LTP ALIMENTOS MARINOS S.A.
Res 1560-24 Modf Res 473-24 Incremento de 1626 ton.
Res 638-24 Incremento de 1 ton desde Org 49 VIII.
Res 637-24 Incremento de 412 ton desde LTP LANDES S.A.
Res 1355-24 Modf Res 637-24 Incremento de 69 ton.
Res 639-24 Incremento de 2 ton desde Org 59 VIII.
Res 645-24 Incremento de 50 ton desde Org 18 VIII.
Res 647-24 Incremento de 160 ton desde LTP BLUMAR S.A.
Res 648-24 Incremento de 232,435 ton desde LTP LEPE ROBLES.
Res 556-24 Incremento de 412 ton desde LTP SOC. PESQ. LANDES S.A.
Res 555-24 Incremento de 343 ton desde Org 3 X.
Res 558-24 Incremento de 10017,562 ton desde Org 1 V.
Res 557-24 Incremento de 241 ton desde Org 18 VIII.
Res 561-24 Incremento de 100 ton desde Org 8 X.
Res 696-24 Incremento de 5 ton desde Org 7 VIII.
Res 756-24 Incremento de 20 ton desde Org 53 VIII.
Res 764-24 Incremento de 20 ton desde Org 8 VIII.
Res 766-24 Incremento de 20 ton desde Org 36 VIII.
Res 772-24 Incremento de 50 ton desde Org 20 VIII.
Res 790-24 Incremento de 30 ton desde Org 1 X.
Res 477-24 Incremento de 20 ton desde Org 36 VIII.
Res 877-24 Incremento de 250 ton desde Org 18 VIII.
Res 552-24 Incremento de 254 ton desde Org 10 X.
Res 958-24 Incremento de 464,952 ton desde LTP GABRIELA MONSALVE CISTERNAS.
Res 992-24 Incremento de 100 ton desde Org 1 XIV.
Res 970-24 Incremento de 400 ton desde LTP ALIMENTOS MARINOS S.A.
Res 1561-24 Modf Res 970-24 Incremento de 268 ton.
Res 972-24 Incremento de 150 ton desde LTP ALIMENTOS MARINOS S.A.
Res 975-24 Incremento de 650,932 ton desde LTP JOSÉ BELTRAN AQUEVEDO.
Res 978-24 Incremento de 813,633 ton desde LTP SOC. PESQUERA ORION LTDA. 
Res 1018-24 Modf Res 605-24 Incremento de 1216 ton.
Res 1019-24 Modf Res 493-24 Incremento de 4233,323 ton.
Res 1031-24 Incremento de 643 ton desde LTP BLUMAR S.A.
Res 1033-24 Incremento de 343 ton desde LTP LANDES S.A. SOC. PESQ. 
Res 1064-24 Incremento de 9 ton desde Org 50 VIII.
Res 1066-24 Incremento de 50 ton desde Org 55 VIII.
Res 1112-24 Incremento de 10 ton desde Org 38 VIII.
Res 1130-24 Rect Res 1019-24 que Modf Res 493-24 Incremento de 4075,823 ton.
Res 1132-24 Incremento de 75 ton desde Org 12 VIII.
Res 1138-24 Incremento de 40 ton desde Org 49 VIII.
Res 1133-24 Incremento de 20 ton desde Org 53 VIII.
Res 1139-24 Incremento de 40 ton desde Org 49 VIII.
Res 1140-24 Incremento de 70 ton desde Org 43 VIII.
Res 1106-24 Incremento de 1542 ton desde LTP BLUMAR S.A.
Res 971-24 Incremento de 103 ton desde LTP LANDES S.A. SOC. PESQ. 
Res 1210-24 Incremento de 386 ton desde LTP ORIZON S.A.
Res 1238-24 Incremento de 613 ton desde LTP BLUMAR S.A.
Res 1275-24 Incremento de 0,04 ton desde Org 30 VIII.
Res 1313-24 Incremento de 500,489 ton desde LTP NOVAMAR SpA.
Res 1325-24 Incremento de 238,612 ton desde LTP RAUL MONSALVE CISTERNAS.
Res 1358-24 Incremento de 520 ton desde LTP LOTA PROTEIN S.A.
Res 1390-24 Incremento de 25 ton desde Org 49 VIII.
Res 1417-24 Incremento de 150 ton desde Org 44 VIII.
Res 1431-24 Incremento de 215 ton desde LTP ORIZON S.A.
Res 1447-24 Incremento de 100 ton desde Org 44 VIII.</t>
        </r>
      </text>
    </comment>
    <comment ref="C109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1096-24 Modf Res 21-24.</t>
        </r>
      </text>
    </comment>
    <comment ref="M10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56-24 Cierre cuota.
Res 70-24 Apertura cuota.
Res 114-24 Cierre cuota.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Incremento de 84 ton desde Org 7 X.
Res 561-24 Incremento de 50 ton desde Org 8 X.
Res 567-24 Incremento de 90 ton desde Org 1 X.
Res 893-24 Incremento de 472 ton desde Org 55 VIII.
Res 979-24 Incremento de 127 ton desde Org 55 VIII.
Res 980-24 Incremento de 400 ton desde Org 55 VIII.
Res 1237-24 Incremento de 630,129 ton desde Org 42 VIII.
Res 1030-24 Incremento de 570 ton desde LTP BLUMAR S.A.
Res 1296-24 Rectifica Res 1030-24 Emb IX.
Res 1432-24 Incremento de 100 ton desde Org 49 VIII.</t>
        </r>
      </text>
    </comment>
    <comment ref="G11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827-24 Cede -170 ton hacia Emb XIV.
Res 992-24 Cede -100 ton hacia Emb VIII.</t>
        </r>
      </text>
    </comment>
    <comment ref="G11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340-24 Cede -365,855 ton hacia Emb VIII.</t>
        </r>
      </text>
    </comment>
    <comment ref="G116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1273-24 Cede -225 ton hacia Emb XIV.</t>
        </r>
      </text>
    </comment>
    <comment ref="G117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990-24 Cede -50 ton hacia Emb XIV.
Res 1111-24 Incremento de 100 ton desde Org 41 VIII.</t>
        </r>
      </text>
    </comment>
    <comment ref="G1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863-24 Cede -358 ton hacia Org 20 VIII.</t>
        </r>
      </text>
    </comment>
    <comment ref="M12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95-24 Cierre cuota.
Res 133-24 Apertura cuota.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Cede -200 ton hacia Org 57 VIII.</t>
        </r>
      </text>
    </comment>
    <comment ref="G12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790-24 Cede -247,1 ton hacia Org 82 VIII.</t>
        </r>
      </text>
    </comment>
    <comment ref="G12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Incremento de 150 ton desde Org 41 VIII.
Res 608-24 Incremento de 232,475 ton desde LTP CRISTIAN SILVA LORCA.
Res 818-24 Incremento de 250 ton desde Org 63 VIII.
Res 827-24 Incremento de 170 ton desde Org 1 XIV.
Res 841-24 Incremento de 290 ton desde Org 62 VIII.
Res 862-24 Incremento de 210 ton desde LTP CAMANCHACA PESCA SUR S.A.
Res 982-24 Incremento de 50 ton desde Org 22 VIII.
Res 990-24 Incremento de 50 ton desde Org 5 XIV.
Res 969-24 Incremento de 674,178 ton desde LTP CRISTIAN SILVA LORCA.
Res 1036-24 Incremento de 120 ton desde Org 31 VIII.
Res 1037-24 Incremento de 120 ton desde Org 31 VIII.
Res 1032-24 Incremento de 1920 ton desde LTP BLUMAR S.A.
Res 1034-24 Incremento de 1500 ton desde LTP BLUMAR S.A.
Res 1070-24 Incremento de 120 ton desde Org 31 VIII.
Res 1105-24 Incremento de 120 ton desde Org 31 VIII.
Res 1110-24 Incremento de 40 ton desde LTP BLUMAR S.A.
Res 1165-24 Incremento de 100 ton desde Org 17 VIII.
Res 1167-24 Incremento de 435 ton desde Org 18 VIII.
Res 1169-24 Incremento de 200 ton desde Org 22 VIII. 
Res 1273-24 Incremento de 225 ton desde Org 4 XIV.</t>
        </r>
      </text>
    </comment>
    <comment ref="G1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376-24 Cede -100 ton hacia Emb VIII.
Res 404-24 Cede -184,923 ton hacia Emb VIII.
Res 567-24 Cede -90 ton hacia Emb IX.
Res 791-24 Cede -30 ton hacia Emb VIII.</t>
        </r>
      </text>
    </comment>
    <comment ref="G128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Cede -200 ton hacia Org 59 VIII.
Res 357-24 Rectifica Res 275-24.
Res 341-24 Cede -350 ton hacia Emb VIII.
Res 343-24 Cede -200 ton hacia Org 59 VIII.
Res 357-24 Deja sin efecto Res 343-24.
Res 565-24 Cede -100 ton hacia Org 57 VIII.</t>
        </r>
      </text>
    </comment>
    <comment ref="G12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536-24 Cede -119 ton hacia Org 59 VIII.
Res 635-24 Cede -143 ton hacia Org 57 VIII.
Res 555-24 Cede -343 ton hacia Emb VIII.
Res 554-24 Cede -143 ton hacia Org 20 VIII.</t>
        </r>
      </text>
    </comment>
    <comment ref="G13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455-24 Cede -518,570 ton hacia Emb VIII.</t>
        </r>
      </text>
    </comment>
    <comment ref="G13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357-24 Rectifica Res 275-24 Cede -200 ton hacia Org 59 VIII.
Res 509-24 Cede -300 ton hacia Org 38 VIII.</t>
        </r>
      </text>
    </comment>
    <comment ref="G13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Cede -84 ton hacia Emb IX.
Res 821-24 Cede -70 ton hacia Org 68 VIII.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562-24 Cede -978,158 ton hacia Org 59 VIII.
Res 561-24 Cede -150 ton hacia Emb VIII-IX.</t>
        </r>
      </text>
    </comment>
    <comment ref="G1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342-24 Cede -120 ton hacia Org 65 VIII.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552-24 Cede -254 ton hacia Emb VIII.</t>
        </r>
      </text>
    </comment>
  </commentList>
</comments>
</file>

<file path=xl/comments3.xml><?xml version="1.0" encoding="utf-8"?>
<comments xmlns="http://schemas.openxmlformats.org/spreadsheetml/2006/main">
  <authors>
    <author>GALAY BARRIENTOS, ARISTOTELES</author>
    <author>PEREZ SALGADO, NICOLAS RODRIGO</author>
    <author>Nico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558-24 Cede -2510,434 hacia Emb VIII.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Cede -517,223 ton hacia Org 13 VIII.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Cede -679,029 ton hacia Org 73 VIII.
Res 1236-24 Deja sin efecto Res 824-24.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792-24 Cede -368,168 ton hacia Org 37 VIII.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671-24 Cede -79,4 ton hacia Org 16 VIII.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Cede -1210 ton hacia Org 79 VIII.
Res 1145-24 Modf Res 412-24 Cede -810 ton.
Res 433-24 Cede -333 ton hacia Org 79 VIII.
Res 435-24 Cede -300 ton hacia Org 20 VIII.
Res 434-24 Cede -672 ton hacia Org 14 VIII.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498-24 Cede -450 ton hacia Org 20 VIII.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696-24 Cede -95 ton hacia Emb VIII.
Res 1143-24 Incremento de 600 ton desde Org 54 VIII.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764-2024 Cede -80 ton hacia Emb VIII.</t>
        </r>
      </text>
    </comment>
    <comment ref="G34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1132-24 Cede -175 ton hacia Emb VIII.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403-24 Incremento de 517,223 ton desde Org 2 V.
Res 297-24 Cede -600 ton hacia Emb VIII.
Res 414-24 Incremento de 350 ton desde Org 74 VIII.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434-24 Incremento de 672 ton desde Org 5 VIII.
Res 669-24 Incremento de 340 ton desde Org 62 VIII.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Incremento de 47,4 ton desde Org 30 VIII.
Res 295-24 Incremento de 200 ton desde Org 35 VIII.
Res 423-24 Cede -300 ton hacia Org 20 VIII.
Res 633-24 Incremento de 90 ton desde Org 35 VIII.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Incremento de 2480 ton desde Org 47 VIII.
Res 671-24 Incremento de 79,4 ton desde Org 1 VIII.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1165-24 Cede -200 ton hacia Emb XIV.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645-24 Cede -100 ton hacia Emb VIII.
Res 557-24 Cede -333 ton hacia Emb VIII.
Res 876-24 Cede -250 ton hacia Org 20 VIII.
Res 877-24 Cede -250 ton hacia Emb VIII.
Res 1167-24 Cede -570 ton hacia Emb XIV.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373-24 Incremento de 82,6 ton desde Org 30 VIII.
Res 411-24 Incremento de 100 ton desde Org 37 VIII.
Res 423-24 Incremento de 300 ton desde Org 15 VIII.
Res 435-24 Incremento de 300 ton desde Org 5 VIII.
Res 436-24 Incremento de 39,6 ton desde Org 52 VIII.
Res 475-24 Incremento de 1740 ton desde Org 71 VIII.
Res 492-24 Incremento de 218 ton desde Org 58 VIII.
Res 498-24 Incremento de 450 ton desde Org 6 VIII.
Res 507-24 Incremento de 100 ton desde Org 37 VIII.
Res 630-24 Incremento de 400 ton desde Org 47 VIII.
Res 554-24 Incremento de 457 ton desde Org 3 X.
Res 772-24 Cede -150 ton hacia Emb VIII.
Res 863-24 Incremento de 754 ton desde Org 6 XIV.
Res 876-24 Incremento de 250 ton desde Org 18 VIII.
Res 1389-24 Incremento de 4,9 ton desde Org 71 VIII.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982-24 Cede -450 ton hacia Emb XIV.
Res 1169-24 Cede -400 ton hacia Emb XIV.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296-24 Cede -47,4 ton hacia Org 15 VIII.
Res 373-24 Cede -82,6 ton hacia Org 20 VIII.
Res 1275-24 Cede -0,150 ton hacia Emb VIII.</t>
        </r>
      </text>
    </comment>
    <comment ref="G5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1036-24 Cede -180 ton hacia Emb XIV.
Res 1037-24 Cede -180 ton hacia Emb XIV.
Res 1070-24 Cede -180 ton hacia Emb XIV.
Res 1105-24 Cede -180 ton hacia Emb XIV.</t>
        </r>
      </text>
    </comment>
    <comment ref="G5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Cede -435 ton hacia Org 46 VIII.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295-24 Cede -200 ton hacia Org 15 VIII.
Res 633-24 Cede -90 ton hacia Org 15 VIII.
Res 752-24 Cede -180 ton hacia Org 37 VIII.
Res 753-24 Incremento de 75,4 ton desde Org 37 VIII.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766-24 Cede -480 ton hacia Emb VIII.
Res 477-24 Cede -80 ton hacia Emb VIII.
Res 1582-24 Cede -500 ton hacia Org 59 VIII.</t>
        </r>
      </text>
    </comment>
    <comment ref="G5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398-24 Cede -175 ton hacia Emb VIII.
Res 411-24 Cede -100 ton hacia Org 20 VIII.
Res 506-24 Cede -40 ton hacia Emb VIII.
Res 507-24 Cede -100 ton hacia Org 20 VIII.
Res 752-24 Incremento de 180 ton desde Org 35 VIII.
Res 753-24 Cede -75,4 ton hacia Org 35 VIII.
Res 754-24 Cede -50 ton hacia Org 55 VIII.
Res 792-24 Incremento de 368,168 ton desde Org 2 VII.</t>
        </r>
      </text>
    </comment>
    <comment ref="G6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509-24 Incremento de 500 ton desde Org 5 X.
Res 1112-24 Cede -110 ton hacia Emb VIII.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Cede -100 ton hacia Emb XIV.
Res 294-24 Cede -150 ton hacia Emb VIII.
Res 1111-24 Cede -200 ton hacia Org 5 XIV.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1237-24 Cede -889,179 ton hacia Emb IX.</t>
        </r>
      </text>
    </comment>
    <comment ref="G65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1140-24 Cede -98 ton hacia Emb VIII.</t>
        </r>
      </text>
    </comment>
    <comment ref="G6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631-24 Cede -600 ton hacia Org 79 VIII.
Res 1417-24 Cede -100 ton hacia Emb VIII.
Res 1447-24 Cede -250 ton hacia Emb VIII.</t>
        </r>
      </text>
    </comment>
    <comment ref="G6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298-24 Incremento de 435 ton desde Org 32 VIII.</t>
        </r>
      </text>
    </comment>
    <comment ref="G6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484-24 Cede -2480 ton hacia Org 16 VIII.
Res 630-24 Cede -400 ton hacia Org 20 VIII.</t>
        </r>
      </text>
    </comment>
    <comment ref="G71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1138-24 Cede -80 ton hacia Emb VIII.
Res 1139-24 Cede -80 ton hacia Emb VIII.
Res 1390-24 Cede -75 ton hacia Emb VIII.
Res 1432-24 Cede -150 ton hacia Emb IX.</t>
        </r>
      </text>
    </comment>
    <comment ref="G72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1064-24 Cede -11 ton hacia Emb VIII.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Incremento de 350 ton desde Org 82 VIII.</t>
        </r>
      </text>
    </comment>
    <comment ref="G7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436-24 Cede -39,6 ton hacia Org 20 VIII.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572-24 Cede -30 ton hacia Emb VIII.
Res 756-24 Cede -30 ton hacia Emb VIII.
Res 1133-24 Cede -30 ton hacia Emb VIII.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Cede -27 ton hacia Org 70 VIII.
Res 1143-24 Cede -600 ton hacia Org 7 VIII.</t>
        </r>
      </text>
    </comment>
    <comment ref="G7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440-24 Cede -284 ton hacia Emb VIII.
Res 754-24 Incremento de 50 ton desde Org 37 VIII.
Res 893-24 Cede -580 ton hacia Emb IX.
Res 979-24 Cede -175 ton hacia Emb IX.
Res 980-24 Cede -500 ton hacia Emb IX.
Res 1066-24 Cede -50 ton hacia Emb VIII.</t>
        </r>
      </text>
    </comment>
    <comment ref="G7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Incremento de 500 ton desde Org 9 XIV.
Res 635-24 Incremento de 457 ton desde Org 3 X.
Res 565-24 Incremento de 300 ton desde Org 2 X.
</t>
        </r>
      </text>
    </comment>
    <comment ref="G8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492-24 Cede -218 ton hacia Org 20 VIII.</t>
        </r>
      </text>
    </comment>
    <comment ref="G81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Incremento de 400 ton desde Org 2 X.
Res 357-24 Rectifica Res 275-24 desde Org 5 X.
Res 343-24 Incremento de 400 ton desde Org 2 X.
Res 357-24 Deja sin efecto Res 343-24.
Res 374-24 Cede -150 ton hacia Emb VIII.
Res 536-24 Incremento de 381 ton desde Org 3 X.
Res 562-24 Incremento de 1663,771 ton desde Org 8 X.
Res 1582-24 Incremento de 500 ton desde Org 36 VIII.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669-24 Cede -340 ton hacia Org 14 VIII.
Res 841-24 Cede -400 ton hacia Emb XIV.</t>
        </r>
      </text>
    </comment>
    <comment ref="G8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818-24 Cede -350 ton hacia Emb XIV.</t>
        </r>
      </text>
    </comment>
    <comment ref="G8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342-22 Incremento de 280 ton desde Org 9 X.</t>
        </r>
      </text>
    </comment>
    <comment ref="G8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481-24 Cede -18 ton hacia Emb VIII.</t>
        </r>
      </text>
    </comment>
    <comment ref="G90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821-24 Incremento de 130 ton desde Org 7 X.</t>
        </r>
      </text>
    </comment>
    <comment ref="G92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632-24 Incremento de 27 ton desde Org 54 VIII.</t>
        </r>
      </text>
    </comment>
    <comment ref="G9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475-24 Cede -1740 ton hacia Org 20 VIII.
Res 1389-24 Cede -4,9 ton hacia Org 20 VIII.</t>
        </r>
      </text>
    </comment>
    <comment ref="G95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824-24 Incremento de 679,029 desde Org 1 VII.
Res 1236-24 Deja sin efecto Res 824-24.</t>
        </r>
      </text>
    </comment>
    <comment ref="G9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414-24 Cede -350 ton hacia Org 13 VIII.</t>
        </r>
      </text>
    </comment>
    <comment ref="G10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412-24 Incremento de 1210 ton desde Org 5 VIII.
Res 1145-24 Modf Res 412-24 Incremento de 810 ton.
Res 433-24 Incremento de 333 ton desde Org 5 VIII.
Res 631-24 Incremento de 600 ton desde Org 44 VIII.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765-24 Cede -350 ton hacia Org 51 VIII.
Res 790-24 Incremento de 520,1 ton desde Org 10 VIII.</t>
        </r>
      </text>
    </comment>
    <comment ref="M10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70-24 Cierre cuota.</t>
        </r>
      </text>
    </comment>
    <comment ref="G10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Incremento de 4617 ton desde LTP ORIZON S.A.
Res 341-24 Incremento de 1300 ton desde Org 2 X.
Res 340-24 Incremento de 818,517 ton desde Org 2 XIV.
Res 377-24 Incremento de 275,594 ton desde LTP PEDRO IRIGOYEN LIMITADA.
Res 376-24 Incremento de 200 ton desde Org 1 X.
Res 404-24 Incremento de 298,985 ton desde Org 1 X.
Res 427-24 Incremento de 349 ton desde LTP LANDES S.A.
Res 428-24 Incremento de 2619,280 ton desde LTP ALIMENTOS MARINOS S.A.
Res 1480-24 Modf Res 428-24 Incremento de 1935,28 ton.
Res 1566-24 Modf Res 428-24 Incremento de 1610,28 ton.
Res 455-24 Incremento de 869,266 ton desde Org 4 X.
Res 294-24 Incremento de 150 ton desde Org 41 VIII.
Res 297-24 Incremento de 600 ton desde Org 13 VIII.
Res 374-24 Incremento de 150 ton desde Org 59 VIII.
Res 398-24 Incremento de 175 ton desde Org 37 VIII.
Res 440-24 Incremento de 284 ton desde Org 55 VIII.
Res 481-24 Incremento de 18 ton desde Org 66 VIII.
Res 493-24 Incremento de 9227,95 ton desde LTP CAMANCHACA PESCA SUR S.A.
Res 495-24 Incremento de 805 ton desde LTP BLUMAR S.A.
Res 496-24 Incremento de 1230 ton desde LTP BLUMAR S.A.
Res 506-24 Incremento de 40 ton desde Org 37 VIII.
Res 523-24 Incremento de 365 ton desde LTP ORIZON S.A.
Res 537-24 Incremento de 225 ton desde LTP ORIZON S.A.
Res 538-24 Incremento de 527,406 ton desde LTP INVERSIONES TRIDENTE SpA.
Res 572-24 Incremento de 30 ton desde Org 53 VIII.
Res 589-24 Incremento de 1548,480 ton desde LTP ALIMENTOS MARINOS S.A.
Res 1565-24 Modf Res 589-24 Incremento de 712,480 ton.
Res 604-24 Incremento de 821 ton desde LTP LANDES S.A.
Res 1362-2 Modf Res 604-24 Incremento de 624 ton.
Res 605-24 Incremento de 3809 ton desde LTP CAMANCHACA PESCA SUR S.A. 
Res 607-24 Incremento de 296 ton desde LTP LANDES S.A.
Res 606-24 Incremento de 124 ton desde LTP FOODCORP CHILE S.A.
Res 610-24 Incremento de 460 ton desde LTP LANDES S.A.
Res 472-24 Incremento de 763 ton desde LTP FOODCORP CHILE S.A.
Res 622-24 Modf Res 472-24 Incremento de 965 ton.
Res 623-24 Incremento de 50 ton desde LTP ALIMENTOS MARINOS S.A.
Res 473-24 Incremento de 1132 ton desde LTP ALIMENTOS MARINOS S.A.
Res 1560-24 Modf Res 473-24 Incremento de 868 ton.
Res 637-24 Incremento de 788 ton desde LTP LANDES S.A.
Res 1355-24 Modf Res 637-24 Incremento de 131 ton.
Res 645-24 Incremento de 100 ton desde Org 18 VIII.
Res 647-24 Incremento de 260 ton desde LTP BLUMAR S.A.
Res 654-24 Incremento de 1767,609 ton desde LTP PESQ. LEPE LTDA. 
Res 556-24 Incremento de 788 ton desde LTP SOC. PESQ. LANDES S.A.
Res 555-24 Incremento de 1102 ton desde Org 3 X.
Res 558-24 Incremento de 2510,434 desde Org 1 V.
Res 557-24 Incremento de 333 ton desde Org 18 VIII.
Res 561-24 Incremento de 550 ton desde Org 8 X.
Res 840-24 Rectifica Res 561-24. 
Res 696-24 Incremento de 95 ton desde Org 7 VIII.
Res 756-24 Incremento de 30 ton desde Org 53 VIII.
Res 764-24 Incremento de 80 ton desde Org 8 VIII.
Res 766-24 Incremento de 480 ton desde Org 36 VIII.
Res 772-24 Incremento de 150 ton desde Org 20 VIII.
Res 791-24 Incremento de 70 ton desde Org 1 VIII.
Res 477-24 Incremento de 80 ton desde Org 36 VIII.
Res 877-24 Incremento de 250 ton desde Org 18 VIII.
Res 552-24 Incremento de 420 ton desde Org 10 X.
Res 992-24 Incremento de 200 ton desde Org XIV.
Res 970-24 Incremento de 125 ton desde LTP ALIMENTOS MARINOS S.A.
Res 1561-24 Modf Res 970-24 Incremento de 84 ton.
Res 972-24 Incremento de 100 ton desde LTP ALIMENTOS MARINOS S.A.
Res 1018-24 Modf Res 605-24 Incremento de 2334 ton.
Res 1019-24 Modf Res 493-24 Incremento de 7805,335 ton.
Res 1031-24 Incremento de 941 ton desde LTP BLUMAR S.A.
Res 1033-24 Incremento de 657 ton desde LTP LANDES S.A. SOC. PESQ. 
Res 1064-24 Incremento de 11 ton desde Org 50 VIII.
Res 1066-24 Incremento de 50 ton desde Org 55 VIII.
Res 1112-24 Incremento de 110 ton desde Org 38 VIII.
Res 1130-24 Rect Res 1019-24 que Modf Res 493-24 Incremento de 7515,964 ton.
Res 1132-24 Incremento de 175 ton desde Org 12 VIII.
Res 1138-24 Incremento de 80 ton desde Org 49 VIII.
Res 1133-24 Incremento de 30 ton desde Org 53 VIII.
Res 1139-24 Incremento de 80 ton desde Org 49 VIII.
Res 1140-24 Incremento de 98 ton desde Org 43 VIII.
Res 1106-24 Incremento de 2263 ton desde LTP BLUMAR S.A.
Res 971-24 Incremento de 197 ton desde LTP LANDES S.A. SOC. PESQ. 
Res 1210-24 Incremento de 414 ton desde LTP ORIZON S.A.
Res 1238-24 Incremento de 100 ton desde LTP BLUMAR S.A.
Res 1275-24 Incremento de 0,150 ton desde Org 30 VIII.
Res 1313-24 Incremento de 4000,127 ton desde LTP NOVAMAR SpA.
Res 1595-24 Rect Res 1313-24 Incrfemento de -3499,638 ton.
Res 1358-24 Incremento de 1220 ton desde LTP LOTA PROTEIN S.A.
Res 1390-24 Incremento de 75 ton desde Org 49 VIII.
Res 1417-24 Incremento de 100 ton desde Org 44 VIII.
Res 1431-24 Incremento de 185 ton desde LTP ORIZON S.A.
Res 1447-24 Incremento de 250 ton desde Org 44 VIII.</t>
        </r>
      </text>
    </comment>
    <comment ref="G10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775-24 Incremento de 1079,624 ton desde cuota imprevistos.</t>
        </r>
      </text>
    </comment>
    <comment ref="M10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56-24 Cierre cuota.
Res 70-24 Apertura cuota.
Res 114-24 Cierre cuota.</t>
        </r>
      </text>
    </comment>
    <comment ref="G11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Incremento de 136 ton desde Org 7 X.
Res 561-24 Incremento de 150 ton desde Org 8 X.
Res 567-24 Incremento de 110 ton desde Org 1 X.
Res 893-24 Incremento de 580 ton desde Org 55 VIII.
Res 979-24 Incremento de 175 ton desde Org 55 VIII.
Res 980-24 Incremento de 500 ton desde Org 55 VIII.
Res 1237-24 Incremento de 889,179 ton desde Org 42 VIII.
Res 1030-24 Incremento de 840 ton desde LTP BLUMAR S.A.
Res 1296-24 Rectifica Res 1030-24 Emb IX.
Res 1432-24 Incremento de 150 ton desde Org 49 VIII.</t>
        </r>
      </text>
    </comment>
    <comment ref="G113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827-24 Cede -330 ton hacia Emb XIV.
Res 992-24 Cede -200 ton hacia Emb VIII.</t>
        </r>
      </text>
    </comment>
    <comment ref="G11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340-24 Cede -818,517 ton hacia Emb VIII.</t>
        </r>
      </text>
    </comment>
    <comment ref="G116" authorId="1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1273-24 Cede -475 ton hacia Emb XIV.</t>
        </r>
      </text>
    </comment>
    <comment ref="G117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990-24 Cede -150 ton hacia Emb XIV.
Res 1111-24 Incremento de 200 ton desde Org 41 VIII.
</t>
        </r>
      </text>
    </comment>
    <comment ref="G118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863-24 Cede -754 ton hacia Org 20 VIII.</t>
        </r>
      </text>
    </comment>
    <comment ref="M12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95-24 Cierre cuota.
Res 133-24 Apertura cuota.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525-24 Cede -500 ton hacia Org 57 VIII.</t>
        </r>
      </text>
    </comment>
    <comment ref="G122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790-24 Cede -520,1 ton hacia Org 82 VIII.</t>
        </r>
      </text>
    </comment>
    <comment ref="G124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457-24 Incremento de 100 ton desde Org 41 VIII.
Res 608-24 Incremento de 863,028 ton desde LTP CRISTIAN SILVA LORCA.
Res 818-24 Incremento de 350 ton desde Org 63 VIII.
Res 827-24 Incremento de 330 ton desde Org 1 XIV.
Res 841-24 Incremento de 400 ton desde Org 62 VIII.
Res 862-24 Incremento de 390 ton desde LTP CAMANCHACA PESCA SUR S.A.
Res 982-24 Incremento de 450 ton desde Org 22 VIII.
Res 990-24 Incremento de 150 ton desde Org 5 XIV.
Res 974-24 Incremento de 863,028 ton desde LTP SOC. PESQUERA MEHUIN REY LIMITADA.
Res 976-24 Incremento de 287,676 ton desde LTP JULIO SAEZ MUÑOZ.
Res 977-24 Incremento de 143,838 ton desde LTP FABIAN MONSALVE SALAS.
Res 983-24 Incremento de 143,838 ton desde LTP SUSAN MONSALVE SALAS.
Res 1036-24 Incremento de 180 ton desde Org 31 VIII.
Res 1037-24 Incremento de 180 ton desde Org 31 VIII.
Res 1032-24 Incremento de 4800 ton desde LTP BLUMAR S.A.
Res 1034-24 Incremento de 705 ton desde LTP BLUMAR S.A.
Res 1070-24 Incremento de 180 ton desde Org 31 VIII.
Res 1105-24 Incremento de 180 ton desde Org 31 VIII.
Res 1110-24 Incremento de 95 ton desde LTP BLUMAR S.A.
Res 1165-24 Incremento de 200 ton desde Org 17 VIII.
Res 1167-24 Incremento de 570 ton desde Org 18 VIII. 
Res 1169-24 Incremento de 400 ton desde Org 22 VIII.
Res 1273-24 Incremento de 475 ton desde Org 4 XIV. </t>
        </r>
      </text>
    </comment>
    <comment ref="G12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376-24 Cede -200 ton hacia Emb VIII.
Res 404-24 Cede -298,985 ton hacia Emb VIII.
Res 567-24 Cede -110 ton hacia Emb IX.
Res 791-24 Cede -70 ton hacia Emb VIII.</t>
        </r>
      </text>
    </comment>
    <comment ref="G128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275-24 Cede -400 ton hacia Org 59 VIII.
Res 357-24 Rectifica Res 275-24.
Res 341-24 Cede -1300 ton hacia Emb VIII.
Res 343-24 Cede -400 ton hacia Org 59 VIII.
Res 357-24 Deja sin efecto Res 343-24.
Res 565-24 Cede -300 ton hacia Org 57 VIII.</t>
        </r>
      </text>
    </comment>
    <comment ref="G129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536-24 Cede -381 ton hacia Org 59 VIII.
Res 635-24 Cede -457 ton hacia Org 57 VIII.
Res 555-24 Cede -1102 ton hacia Emb VIII.
Res 554-24 Cede -457 ton hacia Org 20 VIII.</t>
        </r>
      </text>
    </comment>
    <comment ref="G13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455-24 Cede -869,266 ton hacia Emb VIII.</t>
        </r>
      </text>
    </comment>
    <comment ref="G13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357-24 Rectifica Res 275-24 Cede -400 ton hacia Org 59 VIII.
Res 509-24 Cede -500 ton hacia Org 38 VIII.</t>
        </r>
      </text>
    </comment>
    <comment ref="G13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535-24 Cede -136 ton hacia Emb IX.
Res 821-24 Cede -130 ton hacia Org 68 VIII.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562-24 Cede -1663,771 ton hacia Org 59 VIII.
Res 561-24 Cede -700 ton hacia Emb VIII-XI.
Res 840-24 Rectifica Res 561-24. </t>
        </r>
      </text>
    </comment>
    <comment ref="G135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342-24 Cede -280 ton hacia Org 65 VIII.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552-24 Cede -420 ton hacia Emb VIII.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GALAY BARRIENTOS, ARISTOTELES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428-24 Cede -3712,9 ton hacia Emb VIII.
Res 1480-24 Modf Res 428-24 Cede -2757,9 ton.
Res 1566-24 Modf Res 428-24 Cede -2283,9 ton.
Res 589-24 Cede -2406,950 ton hacia Emb VIII.
Res 1565-24 Modf Res 589-24 Cede -1898,950 ton.
Res 623-24 Cede -100 ton hacia Emb VIII.
Res 473-24 Cede -1963 ton hacia Emb VIII.
Res 1560-24 Modf Res 473-24 Cede -1626 ton.
Res 970-24 Cede -400 ton hacia Emb VIII.
Res 1561-24 Modf Res 970-24 Cede -268 ton.
Res 972-24 Cede -150 ton hacia Emb VIII.</t>
        </r>
      </text>
    </comment>
    <comment ref="H9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975-24 Cede -650,932 ton hacia Emb VIII.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495-24 Cede -560 ton hacia Emb VIII.
Res 496-24 Cede -850 ton hacia Emb VIII.
Res 647-24 Cede -160 ton hacia Emb VIII.
Res 1030-24 Cede -570 ton hacia Emb VIII.
Res 1296-24 Rectifica Res 1030-24 Emb IX.
Res 1031-24 Cede -643 ton hacia Emb VIII.
Res 1032-24 Cede -1920 ton hacia Emb XIV.
Res 1034-24 Cede -1500 ton hacia Emb XIV.
Res 1106-24 Cede -1542 ton hacia Emb VIII.
Res 1110-24 Cede -40 ton hacia Emb XIV.
Res 1238-24 Cede -613 ton hacia Emb VIII.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493-24 Cede -4955,05 ton hacia Emb VIII.
Res 605-24 Cede -2001 ton hacia Emb VIII.
Res 862-24 Cede -210 ton hacia Emb XIV.
Res 1018-24 Modf Res 605-24 Cede -1216 ton.
Res 1019-24 Modf Res 493-24 Cede -4233,323 ton.
Res 1130-24 Rect Res 1019-24 que Modf Res 493-24 Cede -4075,823 ton.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606-24 Cede -120 ton hacia Emb VIII.
Res 472-24 Cede -747 ton hacia Emb VIII.
Res 622-24 Modf Res 472-24 Cede -945 ton.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427-24 Cede -181 ton hacia Emb VIII.
Res 604-24 Cede -429 ton hacia Emb VIII.
Res 1362-2 Modf Res 604-24 Cede -326 ton.
Res 607-24 Cede -154 ton hacia Emb VIII.
Res 610-24 Cede -240 ton hacia Emb VIII.
Res 637-24 Cede -412 ton hacia Emb VIII.
Res 1355-24 Modf Res 637-24 Cede -69 ton.
Res 556-24 Cede -412 ton hacia Emb VIII.
Res 1033-24 Cede -343 ton hacia Emb VIII.
Cert 03-24 Comodato cede -0,307 ton hacia THOR FISHERIES CHILE SpA.
Cert 04-24 Comodato cede -0,930 ton hacia THOR FISHERIES CHILE SpA.
Res 971-24 Cede -103 ton hacia Emb VIII.
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648-24 Cede -232,435 ton hacia Emb VIII.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1358-24 Cede -520 ton hacia Emb VIII.</t>
        </r>
      </text>
    </comment>
    <comment ref="H21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958-24 Cede -464,952 ton hacia Emb VIII.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1325-24 Cede -238,612 ton hacia Emb VIII.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1313-24 Cede -500,489 ton hacia Emb VIII.</t>
        </r>
      </text>
    </comment>
    <comment ref="H24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978-24 Cede -813,633 ton hacia Emb VIII. 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Cede -3583 ton hacia Emb VIII.
Res 523-24 Cede -285 ton hacia Emb VIII.
Res 537-24 Cede -175 ton hacia Emb VIII.
Res 1210-24 Cede -386 ton hacia Emb VIII.
Res 1431-24 Cede -215 ton hacia Emb VIII.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377-24 Cede -297,6 ton hacia Emb VIII.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608-24 Cede -232,475 ton hacia Emb XIV.
Res 969-24 Cede -674,178 ton hacia Emb XIV.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223-24 Compraventa cede 0,005 a SIPESUR V-X.
Res 224-24 Compraventa cede 0,005 a SIPESUR V-X.
Res 225-24 Compraventa cede 0,005 a SIPESUR V-X.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223-24 Compraventa incremento de 0,005 desde PROCESOS TECNOLOGICOS DEL BIOBIO S.A.
Res 224-24 Compraventa incremento de 0,005 desde PROCESOS TECNOLOGICOS DEL BIOBIO S.A.
Res 225-24 Compraventa incremento de 0,005 desde PROCESOS TECNOLOGICOS DEL BIOBIO S.A.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Cert 03-24 Comodato incremento de 0,307 ton desde LANDES S.A.
Cert 04-24 Comodato incremento de 0,930 ton desde LANDES S.A.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428-24 Cede -2619,280 ton hacia Emb VIII.
Res 1480-24 Modf Res 428-24 Cede -1935,28 ton.
Res 1566-24 Modf Res 428-24 Cede -1610,28 ton.
Res 589-24 Cede -1548,48 ton hacia Emb VIII.
Res 1565-24 Modf Res 589-24 Cede -712,480 ton.
Res 623-24 Cede -50 ton hacia Emb VIII.
Res 473-24 Cede -1132 ton hacia Emb VIII.
Res 1560-24 Modf Res 473-24 Cede -868 ton.
Res 970-24 Cede -125 ton hacia Emb VIII.
Res 1561-24 Modf Res 970-24 Cede -84 ton.
Res 972-24 Cede -100 ton hacia Emb VIII.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495-24 Cede -805 ton hacia Emb VIII.
Res 496-24 Cede -1230 ton hacia Emb VIII.
Res 647-24 Cede -260 ton hacia Emb VIII.
Res 1030-24 Cede -840 ton hacia Emb VIII.
Res 1296-24 Rectifica Res 1030-24 Emb IX.
Res 1031-24 Cede -941 ton hacia Emb VIII.
Res 1032-24 Cede -4800 ton hacia Emb XIV.
Res 1034-24 Cede -705 ton hacia Emb XIV.
Res 1106-24 Cede -2263 ton hacia Emb VIII.
Res 1110-24 Cede -95 ton hacia Emb XIV.
Res 1238-24 Cede -100 ton hacia Emb VIII.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493-24 Cede -9227,95 ton hacia Emb VIII.
Res 605-24 Cede -3809 ton hacia Emb VIII.
Res 862-24 Cede -390 ton hacia Emb XIV.
Res 1018-24 Modf Res 605-24 Cede -2334 ton.
Res 1019-24 Modf Res 493-24 Cede -7805,335 ton.
Res 1130-24 Rect Res 1019-24 que Modf Res 493-24 Cede -7515,964 ton.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608-24 Cede -863,028 ton hacia Emb XIV.</t>
        </r>
      </text>
    </comment>
    <comment ref="H45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977-24 Cede -143,838 ton hacia Emb XIV.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606-24 Cede -124 ton hacia Emb VIII.
Res 472-24 Cede -763 ton hacia Emb VIII.
Res 622-24 Modf Res 472-24 Cede -965 ton.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377-24 Cede -275,594 ton hacia Emb VIII.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538-24 Cede -527,406 ton hacia Emb VIII.</t>
        </r>
      </text>
    </comment>
    <comment ref="H53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976-24 Cede -287,676 ton hacia Emb XIV. 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427-24 Cede -349 ton hacia Emb VIII.
Res 604-24 Cede -821 ton hacia Emb VIII.
Res 1362-2 Modf Res 604-24 Cede -624 ton.
Res 607-24 Cede -296 ton hacia Emb VIII.
Res 610-24 Cede -460 ton hacia Emb VIII.
Res 637-24 Cede -788 ton hacia Emb VIII.
Res 1355-24 Modf Res 637-24 Cede -131 ton.
Res 556-24 Cede -788 ton hacia Emb VIII.
Res 1033-24 Cede -657 ton hacia Emb VIII.
Cert 09-24 Comodato cede -1,279 ton hacia THOR FISHERIES CHILE SpA.
Res 971-24 Cede -197 ton hacia Emb VIII.</t>
        </r>
      </text>
    </comment>
    <comment ref="H5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1358-24 Cede -1220 ton hacia Emb VIII.</t>
        </r>
      </text>
    </comment>
    <comment ref="H5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1313-24 Cede -4000,127 ton hacia Emb VIII.
Res 1595-24 Rect Res 1313-24 Cede -3499,638 ton.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321-24 Cede -4617 ton hacia Emb VIII.
Res 523-24 Cede -365 ton hacia Emb VIII.
Res 537-24 Cede -225 ton hacia Emb VIII.
Res 1210-24 Cede -414 ton hacia Emb VIII.
Res 1431-24 Cede -185 ton hacia Emb VIII.</t>
        </r>
      </text>
    </comment>
    <comment ref="H59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654-24 Cede -1767,609 ton hacia Emb VIII.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221-24 Compraventa cede 0,00225 a SIPESUR V-X.
Res 222-24 Compraventa cede 0,00225 a SIPESUR V-X.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221-24 Compraventa incremento de 0,00225 desde PROCESOS TECNOLOGICOS DEL BIOBIO S.A.
Res 222-24 Compraventa incremento de 0,00225 desde PROCESOS TECNOLOGICOS DEL BIOBIO S.A.</t>
        </r>
      </text>
    </comment>
    <comment ref="H62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974-24 Cede -863,028 ton hacia Emb XIV.</t>
        </r>
      </text>
    </comment>
    <comment ref="H63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983-24 Cede -143,838 ton hacia Emb XIV.
</t>
        </r>
      </text>
    </comment>
    <comment ref="H6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Cert 09-24 Comodato incremento de 1,279 ton desde LANDES S.A.</t>
        </r>
      </text>
    </comment>
  </commentList>
</comments>
</file>

<file path=xl/comments5.xml><?xml version="1.0" encoding="utf-8"?>
<comments xmlns="http://schemas.openxmlformats.org/spreadsheetml/2006/main">
  <authors>
    <author>PEREZ SALGADO, NICOLAS RODRIGO</author>
    <author>GALAY BARRIENTOS, ARISTOTELES</author>
  </authors>
  <commentList>
    <comment ref="D4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1383-24 Modf Res 321-24.</t>
        </r>
      </text>
    </comment>
    <comment ref="G4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1383-24 Modf Res 321-24.</t>
        </r>
      </text>
    </comment>
    <comment ref="D4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1383-24 Modf Res 321-24.</t>
        </r>
      </text>
    </comment>
    <comment ref="G4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1383-24 Modf Res 321-24.</t>
        </r>
      </text>
    </comment>
    <comment ref="D8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8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9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0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0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0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0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0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1480-24 Modf Res 428-24.
Res 1566-24 Modf Res 428-24.</t>
        </r>
      </text>
    </comment>
    <comment ref="D138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39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66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67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2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3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4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5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1130-24 Rect Res 1019-24 que Modf 493-24.</t>
        </r>
      </text>
    </comment>
    <comment ref="D17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1130-24 Rect Res 1019-24 que Modf 493-24.</t>
        </r>
      </text>
    </comment>
    <comment ref="D178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
Res 1130-24 Rect Res 1019-24 que Modf 493-24.</t>
        </r>
      </text>
    </comment>
    <comment ref="D179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
Res 1130-24 Rect Res 1019-24 que Modf 493-24.</t>
        </r>
      </text>
    </comment>
    <comment ref="D188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189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1019-24 Modf Res 493-24.</t>
        </r>
      </text>
    </comment>
    <comment ref="D20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1479-24 Modf Res 495-24.
Res 1541-24 Modf Res 495-24 y deja sin efecto Res 1479-24.</t>
        </r>
      </text>
    </comment>
    <comment ref="G20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1479-24 Modf Res 495-24.
Res 1541-24 Modf Res 495-24 y deja sin efecto Res 1479-24.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1479-24 Modf Res 495-24.
Res 1541-24 Modf Res 495-24 y deja sin efecto Res 1479-24.</t>
        </r>
      </text>
    </comment>
    <comment ref="G20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1479-24 Modf Res 495-24.
Res 1541-24 Modf Res 495-24 y deja sin efecto Res 1479-24.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1341-24 Modf Res 523-24.</t>
        </r>
      </text>
    </comment>
    <comment ref="G24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1341-24 Modf Res 523-24.</t>
        </r>
      </text>
    </comment>
    <comment ref="D24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1341-24 Modf Res 523-24.</t>
        </r>
      </text>
    </comment>
    <comment ref="G24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1341-24 Modf Res 523-24.</t>
        </r>
      </text>
    </comment>
    <comment ref="D26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6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1565-24 Modf Res 589-24.</t>
        </r>
      </text>
    </comment>
    <comment ref="D27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1362-2 Modf Res 604-24.</t>
        </r>
      </text>
    </comment>
    <comment ref="K27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1362-2 Modf Res 604-24.</t>
        </r>
      </text>
    </comment>
    <comment ref="D28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1362-2 Modf Res 604-24.</t>
        </r>
      </text>
    </comment>
    <comment ref="K28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1362-2 Modf Res 604-24.</t>
        </r>
      </text>
    </comment>
    <comment ref="D281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2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
</t>
        </r>
      </text>
    </comment>
    <comment ref="D283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4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5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86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5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6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7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298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311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312" authorId="1" shapeId="0">
      <text>
        <r>
          <rPr>
            <b/>
            <sz val="9"/>
            <color indexed="81"/>
            <rFont val="Tahoma"/>
            <charset val="1"/>
          </rPr>
          <t>GALAY BARRIENTOS, ARISTOTELES:</t>
        </r>
        <r>
          <rPr>
            <sz val="9"/>
            <color indexed="81"/>
            <rFont val="Tahoma"/>
            <charset val="1"/>
          </rPr>
          <t xml:space="preserve">
Res 1018-24 Modf Res 605-24.</t>
        </r>
      </text>
    </comment>
    <comment ref="D3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G3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D3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G3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622-24 Modf Res 472-24.</t>
        </r>
      </text>
    </comment>
    <comment ref="D35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5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5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5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5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6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7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1560-24 Modf Res 473-24.</t>
        </r>
      </text>
    </comment>
    <comment ref="D38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1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K382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3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K38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8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89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1355-24 Modf Res 637-24.</t>
        </r>
      </text>
    </comment>
    <comment ref="D393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703-24 Modf Res 639-24.</t>
        </r>
      </text>
    </comment>
    <comment ref="G393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703-24 Modf Res 639-24.</t>
        </r>
      </text>
    </comment>
    <comment ref="D486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840-24 Rectifica Res 561-24. </t>
        </r>
      </text>
    </comment>
    <comment ref="G486" authorId="1" shapeId="0">
      <text>
        <r>
          <rPr>
            <b/>
            <sz val="9"/>
            <color indexed="81"/>
            <rFont val="Tahoma"/>
            <family val="2"/>
          </rPr>
          <t>GALAY BARRIENTOS, ARISTOTELES:</t>
        </r>
        <r>
          <rPr>
            <sz val="9"/>
            <color indexed="81"/>
            <rFont val="Tahoma"/>
            <family val="2"/>
          </rPr>
          <t xml:space="preserve">
Res 840-24 Rectifica Res 561-24. </t>
        </r>
      </text>
    </comment>
    <comment ref="D514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1561-24 Modf Res 970-24.</t>
        </r>
      </text>
    </comment>
    <comment ref="D515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1561-24 Modf Res 970-24.</t>
        </r>
      </text>
    </comment>
    <comment ref="D516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1561-24 Modf Res 970-24.</t>
        </r>
      </text>
    </comment>
    <comment ref="D517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1561-24 Modf Res 970-24.</t>
        </r>
      </text>
    </comment>
    <comment ref="K590" authorId="0" shapeId="0">
      <text>
        <r>
          <rPr>
            <b/>
            <sz val="9"/>
            <color indexed="81"/>
            <rFont val="Tahoma"/>
            <charset val="1"/>
          </rPr>
          <t>PEREZ SALGADO, NICOLAS RODRIGO:</t>
        </r>
        <r>
          <rPr>
            <sz val="9"/>
            <color indexed="81"/>
            <rFont val="Tahoma"/>
            <charset val="1"/>
          </rPr>
          <t xml:space="preserve">
Res 1595-24 Rect Res 1313-24 Cede -3499,638 ton.</t>
        </r>
      </text>
    </comment>
  </commentList>
</comments>
</file>

<file path=xl/sharedStrings.xml><?xml version="1.0" encoding="utf-8"?>
<sst xmlns="http://schemas.openxmlformats.org/spreadsheetml/2006/main" count="7520" uniqueCount="682">
  <si>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</si>
  <si>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</si>
  <si>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</si>
  <si>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</si>
  <si>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</si>
  <si>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</si>
  <si>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</si>
  <si>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</si>
  <si>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</si>
  <si>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</si>
  <si>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</si>
  <si>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</si>
  <si>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</si>
  <si>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</si>
  <si>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</si>
  <si>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</si>
  <si>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</si>
  <si>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</si>
  <si>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</si>
  <si>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</si>
  <si>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</si>
  <si>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</si>
  <si>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</si>
  <si>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</si>
  <si>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</si>
  <si>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</si>
  <si>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</si>
  <si>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</si>
  <si>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</si>
  <si>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</si>
  <si>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</si>
  <si>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</si>
  <si>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</si>
  <si>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</si>
  <si>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</si>
  <si>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</si>
  <si>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</si>
  <si>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</si>
  <si>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</si>
  <si>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</si>
  <si>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</si>
  <si>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</si>
  <si>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</si>
  <si>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</si>
  <si>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</si>
  <si>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</si>
  <si>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</si>
  <si>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</si>
  <si>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</si>
  <si>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</si>
  <si>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</si>
  <si>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</si>
  <si>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</si>
  <si>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</si>
  <si>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</si>
  <si>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</si>
  <si>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</si>
  <si>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</si>
  <si>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</si>
  <si>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</si>
  <si>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</si>
  <si>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</si>
  <si>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</si>
  <si>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>Asociación Gremial de Productores Pelágicos Artesanales de las Caletas de Talcahuano y San Vicente de la VIII Región GEMAR A.G., Registro de Asociaciones Gremiales 464-8</t>
  </si>
  <si>
    <t>Cooperativa de Pescadores y Armadores Artesanales de Lota "GEVIMAR". Registro de Cooperativa Rol 4465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</si>
  <si>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</si>
  <si>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</si>
  <si>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</si>
  <si>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</si>
  <si>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</si>
  <si>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</si>
  <si>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</si>
  <si>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</si>
  <si>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</si>
  <si>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</si>
  <si>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</si>
  <si>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</si>
  <si>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</si>
  <si>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</si>
  <si>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</si>
  <si>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</si>
  <si>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</si>
  <si>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</si>
  <si>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</si>
  <si>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</si>
  <si>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</si>
  <si>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</si>
  <si>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</si>
  <si>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</si>
  <si>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</si>
  <si>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>Sindicato de Trabajadores Independientes Pescadores de la Caleta Cocholgüe, Registro Sindical Único 08.06.0023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</si>
  <si>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</si>
  <si>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</si>
  <si>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</si>
  <si>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</si>
  <si>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</si>
  <si>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</si>
  <si>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</si>
  <si>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</si>
  <si>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</si>
  <si>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</si>
  <si>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</si>
  <si>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</si>
  <si>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</si>
  <si>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</si>
  <si>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PESCA AUSTRAL. RAG 326-10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</si>
  <si>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</si>
  <si>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</si>
  <si>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</si>
  <si>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</si>
  <si>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AG APEVAL. RAG 29-14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</si>
  <si>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</si>
  <si>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</si>
  <si>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</si>
  <si>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</si>
  <si>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</si>
  <si>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</si>
  <si>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</si>
  <si>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</si>
  <si>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</si>
  <si>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</si>
  <si>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</si>
  <si>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</si>
  <si>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</si>
  <si>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</si>
  <si>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</si>
  <si>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</si>
  <si>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</si>
  <si>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</si>
  <si>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</si>
  <si>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</si>
  <si>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</si>
  <si>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</si>
  <si>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</si>
  <si>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</si>
  <si>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</si>
  <si>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</si>
  <si>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</si>
  <si>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</si>
  <si>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</si>
  <si>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</si>
  <si>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</si>
  <si>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</si>
  <si>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</si>
  <si>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</si>
  <si>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</si>
  <si>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</si>
  <si>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</si>
  <si>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</si>
  <si>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Captura Anchoveta</t>
  </si>
  <si>
    <t>Captura Sardina comun</t>
  </si>
  <si>
    <t>Cargos por exceso</t>
  </si>
  <si>
    <t>Saldo Sardina común</t>
  </si>
  <si>
    <t>Saldo Mixto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</si>
  <si>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</si>
  <si>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</si>
  <si>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</si>
  <si>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</si>
  <si>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</si>
  <si>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</si>
  <si>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</si>
  <si>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</si>
  <si>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</si>
  <si>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</si>
  <si>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</si>
  <si>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</si>
  <si>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</si>
  <si>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</si>
  <si>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</si>
  <si>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</si>
  <si>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</si>
  <si>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</si>
  <si>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</si>
  <si>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</si>
  <si>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</si>
  <si>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</si>
  <si>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</si>
  <si>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 xml:space="preserve">Adjudicatario 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</si>
  <si>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</si>
  <si>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</si>
  <si>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</si>
  <si>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</si>
  <si>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</si>
  <si>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</si>
  <si>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</si>
  <si>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</si>
  <si>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</si>
  <si>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</si>
  <si>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</si>
  <si>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</si>
  <si>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</si>
  <si>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</si>
  <si>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</si>
  <si>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</si>
  <si>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</si>
  <si>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</si>
  <si>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</si>
  <si>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</si>
  <si>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</si>
  <si>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 xml:space="preserve">ID de la Org. Cedente/Nombre del Cedente </t>
  </si>
  <si>
    <t>Region nave cesionaria</t>
  </si>
  <si>
    <t>XIV</t>
  </si>
  <si>
    <t>IX</t>
  </si>
  <si>
    <t>Exceso Ton IC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</si>
  <si>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</si>
  <si>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</si>
  <si>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</si>
  <si>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</si>
  <si>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</si>
  <si>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</si>
  <si>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</si>
  <si>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</si>
  <si>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</si>
  <si>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</si>
  <si>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</si>
  <si>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</si>
  <si>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</si>
  <si>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</si>
  <si>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</si>
  <si>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</si>
  <si>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</si>
  <si>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</si>
  <si>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</si>
  <si>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</si>
  <si>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</si>
  <si>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</si>
  <si>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</si>
  <si>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</si>
  <si>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</si>
  <si>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</si>
  <si>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</si>
  <si>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</si>
  <si>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</si>
  <si>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</si>
  <si>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</si>
  <si>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</si>
  <si>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</si>
  <si>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</si>
  <si>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</si>
  <si>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</si>
  <si>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</si>
  <si>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</si>
  <si>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</si>
  <si>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</si>
  <si>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</si>
  <si>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</si>
  <si>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</si>
  <si>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</si>
  <si>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Sociedad Cooperativa Benesino Limitada ROL 5871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</si>
  <si>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</si>
  <si>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</si>
  <si>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GONZALO GALDAMEZ SANTIBAÑEZ</t>
  </si>
  <si>
    <t>AGARMAR.  RAG 156-10</t>
  </si>
  <si>
    <t>Imputacion Conjunta</t>
  </si>
  <si>
    <t>Cuota efectiva conjunta</t>
  </si>
  <si>
    <t>Saldo conjunto</t>
  </si>
  <si>
    <t>Saldo anchoveta</t>
  </si>
  <si>
    <t>Saldo sardina</t>
  </si>
  <si>
    <t>Asociación Gremial de Armadores, Pescadores Artesanales y Actividades Afines, SIMBA A.G. Registro de Asociaciones Gremiales RAG N° 679-8</t>
  </si>
  <si>
    <t>Asociación Gremial de Armadores, Pescadores Artesanales y Actividades Afines, CHALLWAFE A.G. Registro de Asociaciones Gremiales RAG N° 674-8</t>
  </si>
  <si>
    <t>Asociación Gremial de Armadores, Pescadores Artesanales y Actividades Afines, de las Caletas de Coronel y Lota de la Región del Biobío PESCA SUR A.G. Registro de Asociaciones Gremiales RAG N° 680-8</t>
  </si>
  <si>
    <t>Sindicato de Trabajadores Independientes de Pescadores Artesanales y Armadores, Buzos mariscadores, Recolectores de orilla, Acuicultores y Ramos Afines de la Pesca Artesanal "GRAN GOLFO DE ARAUCO" Registro Sindical Único R.S.U N° 08.04.0189</t>
  </si>
  <si>
    <t>ASOCIACION GREMIAL AGRAPES DE SAN ANTONIO "AG AGRAPES" RAG 4399</t>
  </si>
  <si>
    <t>-</t>
  </si>
  <si>
    <t>Captura Anchoveta(T)</t>
  </si>
  <si>
    <t>Captura Sardina común (T)</t>
  </si>
  <si>
    <t>Saldo Sardina común (T)</t>
  </si>
  <si>
    <t>Saldo Anchoveta (T)</t>
  </si>
  <si>
    <t>THOR FISHERIES CHILE SpA</t>
  </si>
  <si>
    <t>Captura Conjunta</t>
  </si>
  <si>
    <t>Cargos por excesos conjuntos</t>
  </si>
  <si>
    <t>Saldo Conjunto</t>
  </si>
  <si>
    <t>Imputación Conjunta</t>
  </si>
  <si>
    <t>Cargos por exceso conjuntos</t>
  </si>
  <si>
    <t>Captura Sardina</t>
  </si>
  <si>
    <t>Anchoveta IX</t>
  </si>
  <si>
    <t>Sardina IX</t>
  </si>
  <si>
    <t>Anchoveta XIV</t>
  </si>
  <si>
    <t>Sardina XIV</t>
  </si>
  <si>
    <t>Sindicato de Pescadores y Armadores Independientes de Embarcaciones Menores Artesanales de la Caleta Tumbes "SIPESAR" (RSU N° 08.05.0696)</t>
  </si>
  <si>
    <t xml:space="preserve">Sindicato de Trabajadores Independientes Pescadores, Armadores Artesanales y Ramos Afines "Mar de Fondo del Biobío", (RSU N°08.05.0700) </t>
  </si>
  <si>
    <t>Sindicato Independiente de Pescadores Artesanales Activos Coronel (RSU N° 08.07.0512)</t>
  </si>
  <si>
    <t>IC 40%</t>
  </si>
  <si>
    <t>Cesiones Ind y Colec VIII Región del Biobío</t>
  </si>
  <si>
    <t>Cesiones Ind y Colec IX Región de la Araucanía</t>
  </si>
  <si>
    <t>Cesiones Ind y Colec XIV Región de los Rios</t>
  </si>
  <si>
    <t>Cuota Remanente Anchoveta  (T)</t>
  </si>
  <si>
    <t>Cuota Remanente Sardina común  (T)</t>
  </si>
  <si>
    <t>Sindicato de Trabajadores Independientes, Tripulantes y Armadores de Botes, Pescadores Artesanales, Algueros, Mariscadores y Actividades conexas de la caleta Tumbes de la comuna de Talcahuano. Registro Sindical Único 08.05.0495</t>
  </si>
  <si>
    <t>Información Preliminar</t>
  </si>
  <si>
    <t>ASOGPESCA ANCUD. RAG 4266</t>
  </si>
  <si>
    <t>AQUEPESCA. RAG 270-10</t>
  </si>
  <si>
    <t xml:space="preserve">Coeficiente </t>
  </si>
  <si>
    <t>Titular</t>
  </si>
  <si>
    <t>Sardina Común V-X</t>
  </si>
  <si>
    <t xml:space="preserve">LTP </t>
  </si>
  <si>
    <t>B</t>
  </si>
  <si>
    <t>JULIO SÁEZ MUÑOZ</t>
  </si>
  <si>
    <t>GONZALO GALDAMES SANTIBAÑEZ</t>
  </si>
  <si>
    <t>COMERCIAL Y CONSERVERA SAN LAZARO LIMITADA</t>
  </si>
  <si>
    <t>ORIZON S.A</t>
  </si>
  <si>
    <t>A</t>
  </si>
  <si>
    <t>BLUMAR S.A</t>
  </si>
  <si>
    <t>NOVAMAR SpA.</t>
  </si>
  <si>
    <t>LITORAL SpA. PESQ.</t>
  </si>
  <si>
    <t>PEDRO IRIGOYEN LTDA. INV.</t>
  </si>
  <si>
    <t>ISLA QUIHUA S.A. PESQ.</t>
  </si>
  <si>
    <t>LANDES S.A. SOC. PESQ.</t>
  </si>
  <si>
    <t>INOSTROZA CONCHA PELANTARO</t>
  </si>
  <si>
    <t>GENMAR LTDA. SOC. PESQ.</t>
  </si>
  <si>
    <t>THOR FISHERIES CHILE SPA.</t>
  </si>
  <si>
    <t>SILVA LORCA CRISTIAN</t>
  </si>
  <si>
    <t>MONSALVE CISTERNAS GABRIELA</t>
  </si>
  <si>
    <t>SILVA TUDELA CRISTIAN</t>
  </si>
  <si>
    <t>LEPE ROBLES ALFONSO</t>
  </si>
  <si>
    <t>GAJARDO PALMA SANDRA</t>
  </si>
  <si>
    <t>AL SUR DE LA ISLA LIMITADA SOC. PESQ.</t>
  </si>
  <si>
    <t>MONSALVE CISTERNAS RAUL</t>
  </si>
  <si>
    <t>SAN PEDRO LIMITADA PESQ.</t>
  </si>
  <si>
    <t>ORION LIMITADA PESQ.</t>
  </si>
  <si>
    <t>BELTRAN AQUEVEDO JOSE</t>
  </si>
  <si>
    <t>Asociación Gremial de Armadores Históricos del Biobío "ARHISPEL BIOBIO" RAG 701-8</t>
  </si>
  <si>
    <t>Sindicato de Trabajadores Independientes de armadores y pescadores Artesanales y Ramas afines, "MAR CANTABRICO" Registro Sindical Único 08.05.0718</t>
  </si>
  <si>
    <t>Sindicato de Trabajadores Independientes de Pescadores Artesanales, Armadores Artesanales, Buzos mariscadores, Recolectores de orilla "Por un Futuro Mejor". Registro Sindical Único 08.16.0212</t>
  </si>
  <si>
    <t>Sindicato de Trabajadores Independientes de tripulantes y ramos afines de la pesca artesanal (CORONEL). Registro Sindical Único 08.07.0398</t>
  </si>
  <si>
    <t>Distribuidora De Productos Del Mar Incomar Limitada</t>
  </si>
  <si>
    <t>Don Anonio Estrada Moraga</t>
  </si>
  <si>
    <t>Operaciones Costeras SPA</t>
  </si>
  <si>
    <t>Region</t>
  </si>
  <si>
    <t>Del Sur S.A.</t>
  </si>
  <si>
    <t>RESUMEN CONTROL DE CUOTA ANCHOVETA Y SARDINA COMÚN V-X 2024</t>
  </si>
  <si>
    <t>CONTROL DE CUOTAS ANCHOVETA ARTESANAL V-X 2024</t>
  </si>
  <si>
    <t>CONTROL DE CUOTAS SARDINA COMUN ARTESANAL V-X 2024</t>
  </si>
  <si>
    <t>IMPUTACION CONJUNTA CUOTA ANCHOVETA Y SARDINA COMÚN AÑO 2024</t>
  </si>
  <si>
    <t>CONTROL DE CUOTAS CONSUMO HUMANO AÑO 2024</t>
  </si>
  <si>
    <t>CONTROL DE CUOTAS CUOTA IMPREVISTOS AÑO 2024</t>
  </si>
  <si>
    <t>CONTROL DE CUOTA REMANENTE EMBARCACIONES ANCHOVETA Y SARDINA COMÚN ARTESANAL V-X 2024</t>
  </si>
  <si>
    <t>CONTROL DE CUOTAS PESCA DE INVESTIGACIÓN AÑO 2024</t>
  </si>
  <si>
    <t>IMPUTACIÓN CONJUNTA CUOTA ANCHOVETA Y SARDINA COMÚN VIII REGIÓN AÑO 2024</t>
  </si>
  <si>
    <t>AG PERSARPEL. RAG 115-14</t>
  </si>
  <si>
    <t>ST PUERTO MONTT. RSU 10.01.0591</t>
  </si>
  <si>
    <t>SIPESUR SpA</t>
  </si>
  <si>
    <t>Corporación Nacional de Pescadores Artesanales Armadores Punta Puchoco, Chile. Per. Jur. N°351649, ROA N°97276</t>
  </si>
  <si>
    <t>Orizon S.A.</t>
  </si>
  <si>
    <t>Ind-Art</t>
  </si>
  <si>
    <t>Individual</t>
  </si>
  <si>
    <t>SSP</t>
  </si>
  <si>
    <t>Valentin</t>
  </si>
  <si>
    <t>Don Mañe</t>
  </si>
  <si>
    <t>Rey de Reyes</t>
  </si>
  <si>
    <t>Dario Abraham I</t>
  </si>
  <si>
    <t>Juanita</t>
  </si>
  <si>
    <t>Don Mariano</t>
  </si>
  <si>
    <t>Marwejuan</t>
  </si>
  <si>
    <t>Don Coquera II</t>
  </si>
  <si>
    <t>Don Manuel R</t>
  </si>
  <si>
    <t>Don Mati I</t>
  </si>
  <si>
    <t>La Consuelito</t>
  </si>
  <si>
    <t>Sofia Agustina</t>
  </si>
  <si>
    <t>Lauca</t>
  </si>
  <si>
    <t>Sebastian II</t>
  </si>
  <si>
    <t>Sergio III</t>
  </si>
  <si>
    <t>Aida Rosa</t>
  </si>
  <si>
    <t>Juanita I</t>
  </si>
  <si>
    <t>Alexander II</t>
  </si>
  <si>
    <t>Mariela III</t>
  </si>
  <si>
    <t>Abraham Antonio I</t>
  </si>
  <si>
    <t>Don Coquera</t>
  </si>
  <si>
    <t>Paulina M II</t>
  </si>
  <si>
    <t>Abraham Antonio</t>
  </si>
  <si>
    <t>Camila David</t>
  </si>
  <si>
    <t>Halcon I</t>
  </si>
  <si>
    <t>Abraham</t>
  </si>
  <si>
    <t>El Abuelo</t>
  </si>
  <si>
    <t>Marisan I</t>
  </si>
  <si>
    <t>2 (X)</t>
  </si>
  <si>
    <t>Alonsito M</t>
  </si>
  <si>
    <t>Art-Art</t>
  </si>
  <si>
    <t>2 (XIV)</t>
  </si>
  <si>
    <t>Ventisquero</t>
  </si>
  <si>
    <t>Pedro irigoyen Limitada</t>
  </si>
  <si>
    <t>Anselmo I</t>
  </si>
  <si>
    <t>1 (X)</t>
  </si>
  <si>
    <t>Doña Julia</t>
  </si>
  <si>
    <t>Señora Nancy</t>
  </si>
  <si>
    <t>Landes S.A.</t>
  </si>
  <si>
    <t>Monte Gerezin</t>
  </si>
  <si>
    <t>Bella Marina</t>
  </si>
  <si>
    <t>Rayo II</t>
  </si>
  <si>
    <t>Victor Rene</t>
  </si>
  <si>
    <t>Colectivo</t>
  </si>
  <si>
    <t>Alimentos Marinos S.A.</t>
  </si>
  <si>
    <t>Adriana V</t>
  </si>
  <si>
    <t>Don Eliseo</t>
  </si>
  <si>
    <t>Consuelo Maribel</t>
  </si>
  <si>
    <t>Yolih</t>
  </si>
  <si>
    <t>Joseva</t>
  </si>
  <si>
    <t>Angela Valentina</t>
  </si>
  <si>
    <t>Don Robert</t>
  </si>
  <si>
    <t>Matias Nicolas</t>
  </si>
  <si>
    <t>Estrella Del Sur</t>
  </si>
  <si>
    <t>Andrea C</t>
  </si>
  <si>
    <t>Don Tito R</t>
  </si>
  <si>
    <t>Tsunami S</t>
  </si>
  <si>
    <t>Linda C</t>
  </si>
  <si>
    <t>4 (X)</t>
  </si>
  <si>
    <t>41 (VIII)</t>
  </si>
  <si>
    <t>Margot Maria IV</t>
  </si>
  <si>
    <t>DZP VIII</t>
  </si>
  <si>
    <t>Santa Teresita II</t>
  </si>
  <si>
    <t>13 (VIII)</t>
  </si>
  <si>
    <t>Mauricio Ignacio II</t>
  </si>
  <si>
    <t>59 (VIII)</t>
  </si>
  <si>
    <t>Ana Belen I</t>
  </si>
  <si>
    <t>37 (VIII)</t>
  </si>
  <si>
    <t>55 (VIII)</t>
  </si>
  <si>
    <t>Ruth M</t>
  </si>
  <si>
    <t>66 (VIII)</t>
  </si>
  <si>
    <t>Don Rafael II</t>
  </si>
  <si>
    <t>Camanchaca Pesca Sur S.A.</t>
  </si>
  <si>
    <t>Armando S</t>
  </si>
  <si>
    <t>Florencia</t>
  </si>
  <si>
    <t>Kormoran 2DO</t>
  </si>
  <si>
    <t>Don Sixto</t>
  </si>
  <si>
    <t>Sixto Abraham I</t>
  </si>
  <si>
    <t>Eden I</t>
  </si>
  <si>
    <t>Rebequita 1</t>
  </si>
  <si>
    <t>Rosa Marcela II</t>
  </si>
  <si>
    <t>Mar de Alaska</t>
  </si>
  <si>
    <t>Jean Carlos</t>
  </si>
  <si>
    <t>Vivicita I</t>
  </si>
  <si>
    <t>Sra. Celinda</t>
  </si>
  <si>
    <t>Don Pedro I</t>
  </si>
  <si>
    <t>Constanza M I</t>
  </si>
  <si>
    <t>Don Beto V</t>
  </si>
  <si>
    <t>Demetrio N</t>
  </si>
  <si>
    <t>Domenica</t>
  </si>
  <si>
    <t>Rueli</t>
  </si>
  <si>
    <t>Saray Esmeralda-M</t>
  </si>
  <si>
    <t>Juan Pedro R</t>
  </si>
  <si>
    <t>Don Goyo</t>
  </si>
  <si>
    <t>Rieka I</t>
  </si>
  <si>
    <t>Doña Sofia I</t>
  </si>
  <si>
    <t>Maricia</t>
  </si>
  <si>
    <t>Mesana</t>
  </si>
  <si>
    <t>Jose Sebastian</t>
  </si>
  <si>
    <t>Patricia Vanessa</t>
  </si>
  <si>
    <t>Juan Felipe I</t>
  </si>
  <si>
    <t>Marbella II</t>
  </si>
  <si>
    <t>Tio Chito</t>
  </si>
  <si>
    <t>Reina del Mar II</t>
  </si>
  <si>
    <t>Blumar S.A.</t>
  </si>
  <si>
    <t>Chumingo</t>
  </si>
  <si>
    <t>Claudio</t>
  </si>
  <si>
    <t>Doña Isabel I</t>
  </si>
  <si>
    <t>Marcela E</t>
  </si>
  <si>
    <t>Don Rodrigo B</t>
  </si>
  <si>
    <t>Santa Teresita III</t>
  </si>
  <si>
    <t>Titan del Mar II</t>
  </si>
  <si>
    <t>Don Alonso</t>
  </si>
  <si>
    <t>Don Raimundo</t>
  </si>
  <si>
    <t>Tiare</t>
  </si>
  <si>
    <t>L. Maximiliano</t>
  </si>
  <si>
    <t>Maria Jesus III</t>
  </si>
  <si>
    <t>Don Pascual II</t>
  </si>
  <si>
    <t>Ana Nury</t>
  </si>
  <si>
    <t>Monserrat I</t>
  </si>
  <si>
    <t>Don Jose L I</t>
  </si>
  <si>
    <t>Teresita II</t>
  </si>
  <si>
    <t>Lerito</t>
  </si>
  <si>
    <t>Nicolas Agustin</t>
  </si>
  <si>
    <t>Bendicion II</t>
  </si>
  <si>
    <t>Susana I</t>
  </si>
  <si>
    <t>Don Pedrito</t>
  </si>
  <si>
    <t>Don Jason</t>
  </si>
  <si>
    <t>Felipe R</t>
  </si>
  <si>
    <t>Don Daniel I</t>
  </si>
  <si>
    <t>Tata Concon</t>
  </si>
  <si>
    <t>Don Matias J I</t>
  </si>
  <si>
    <t>Susana 1</t>
  </si>
  <si>
    <t>Katherine III</t>
  </si>
  <si>
    <t>Inversiones Tridente SpA.</t>
  </si>
  <si>
    <t>Gianfranco</t>
  </si>
  <si>
    <t>Gianluca</t>
  </si>
  <si>
    <t>Gianpiero I</t>
  </si>
  <si>
    <t>7 (X)</t>
  </si>
  <si>
    <t>Osframa</t>
  </si>
  <si>
    <t>53 (VIII)</t>
  </si>
  <si>
    <t>Mateo A</t>
  </si>
  <si>
    <t>Rey David I</t>
  </si>
  <si>
    <t>Sandrita I</t>
  </si>
  <si>
    <t>Don Miguel</t>
  </si>
  <si>
    <t>Don Miguel II</t>
  </si>
  <si>
    <t>Doncella II</t>
  </si>
  <si>
    <t>Puerto Ballarta</t>
  </si>
  <si>
    <t>Pituco</t>
  </si>
  <si>
    <t>Nazareth II</t>
  </si>
  <si>
    <t>Poseidon II</t>
  </si>
  <si>
    <t>Shimane</t>
  </si>
  <si>
    <t>Camila Antonella 1</t>
  </si>
  <si>
    <t>Camila Antonella 2</t>
  </si>
  <si>
    <t>Mar de Bering</t>
  </si>
  <si>
    <t>Jerusalen 2</t>
  </si>
  <si>
    <t>Don Leonel</t>
  </si>
  <si>
    <t>Don Patricio I</t>
  </si>
  <si>
    <t>Galilea I</t>
  </si>
  <si>
    <t>Jose Enrique</t>
  </si>
  <si>
    <t>Sofia M</t>
  </si>
  <si>
    <t>Eloisa II</t>
  </si>
  <si>
    <t>El Acuario I</t>
  </si>
  <si>
    <t>Tome II</t>
  </si>
  <si>
    <t>Benjamin M I</t>
  </si>
  <si>
    <t>Capello</t>
  </si>
  <si>
    <t>Mar Segundo</t>
  </si>
  <si>
    <t>El Bela</t>
  </si>
  <si>
    <t>Cristian Silva Lorca</t>
  </si>
  <si>
    <t>Claudio I</t>
  </si>
  <si>
    <t>Foodcorp Chile S.A.</t>
  </si>
  <si>
    <t>Francisco Javier</t>
  </si>
  <si>
    <t>Jairo Eli</t>
  </si>
  <si>
    <t>Socoroma III</t>
  </si>
  <si>
    <t>Socoroma V</t>
  </si>
  <si>
    <t>Socoroma VI</t>
  </si>
  <si>
    <t>Novia del Mar IV</t>
  </si>
  <si>
    <t>Quimera</t>
  </si>
  <si>
    <t>Don Tato</t>
  </si>
  <si>
    <t>Eben Ezer III</t>
  </si>
  <si>
    <t>Gavilan IV</t>
  </si>
  <si>
    <t>Don Lui Alberto</t>
  </si>
  <si>
    <t>Matias</t>
  </si>
  <si>
    <t>Emelinda</t>
  </si>
  <si>
    <t>La Misionera</t>
  </si>
  <si>
    <t>Victoria R</t>
  </si>
  <si>
    <t>Don Armando II</t>
  </si>
  <si>
    <t>Valentina L</t>
  </si>
  <si>
    <t>Raul Cesar</t>
  </si>
  <si>
    <t>Maria Bristela</t>
  </si>
  <si>
    <t>Agustin Primero</t>
  </si>
  <si>
    <t>Diego Esteban</t>
  </si>
  <si>
    <t>Mar de Liguria</t>
  </si>
  <si>
    <t>Moises</t>
  </si>
  <si>
    <t>49 (VIII)</t>
  </si>
  <si>
    <t>R. Isabel II</t>
  </si>
  <si>
    <t>El Viejo Pepe</t>
  </si>
  <si>
    <t>Don Kako</t>
  </si>
  <si>
    <t>Pedro L</t>
  </si>
  <si>
    <t>Jose L</t>
  </si>
  <si>
    <t>Don Alfonso IV</t>
  </si>
  <si>
    <t>Maria Bernarda II</t>
  </si>
  <si>
    <t>Dania Ayrina II</t>
  </si>
  <si>
    <t>Ana Belen</t>
  </si>
  <si>
    <t>Lastenia I</t>
  </si>
  <si>
    <t>18 (VIII)</t>
  </si>
  <si>
    <t>Uziel IV</t>
  </si>
  <si>
    <t xml:space="preserve">Alfonso Lepe Robles </t>
  </si>
  <si>
    <t>Pesquera Lepe Limitada</t>
  </si>
  <si>
    <t>Sindicato de Trabajadores Independientes Armadores y Pescadores Artesanales y Ramos Afines  Caleta La Gloria comuna de Talcahuano, Registro Sindical Único 08.05.0603</t>
  </si>
  <si>
    <t xml:space="preserve">Benjamin M </t>
  </si>
  <si>
    <t>Misionera III</t>
  </si>
  <si>
    <t>3 (X)</t>
  </si>
  <si>
    <t>Esperanza en Dios</t>
  </si>
  <si>
    <t>Mateo Abdon</t>
  </si>
  <si>
    <t>1 (V)</t>
  </si>
  <si>
    <t>Don Beto IV</t>
  </si>
  <si>
    <t>Bayron David I</t>
  </si>
  <si>
    <t xml:space="preserve">Veronica Alejandra </t>
  </si>
  <si>
    <t>Chita I</t>
  </si>
  <si>
    <t>Claudio II</t>
  </si>
  <si>
    <t>Catalina M</t>
  </si>
  <si>
    <t>Johana II</t>
  </si>
  <si>
    <t>Paola II</t>
  </si>
  <si>
    <t>Don Enri II</t>
  </si>
  <si>
    <t>Don Luis Alberto II</t>
  </si>
  <si>
    <t>Florina I</t>
  </si>
  <si>
    <t>Don Lucho III</t>
  </si>
  <si>
    <t>Paola III</t>
  </si>
  <si>
    <t xml:space="preserve">Renata </t>
  </si>
  <si>
    <t xml:space="preserve">Sixto Abraham </t>
  </si>
  <si>
    <t>Sra. Marioly</t>
  </si>
  <si>
    <t>Cayumanqui</t>
  </si>
  <si>
    <t>Nubia Herlibet</t>
  </si>
  <si>
    <t>Don Guillermo I</t>
  </si>
  <si>
    <t>Lealtad I</t>
  </si>
  <si>
    <t xml:space="preserve">Virgo </t>
  </si>
  <si>
    <t>Isaac M</t>
  </si>
  <si>
    <t>8 (X)</t>
  </si>
  <si>
    <t>7 (VIII)</t>
  </si>
  <si>
    <t>L Maximiliano I</t>
  </si>
  <si>
    <t>Papi Jose</t>
  </si>
  <si>
    <t>Cristian Guillermo</t>
  </si>
  <si>
    <t>8 (VIII)</t>
  </si>
  <si>
    <t>36 (VIII)</t>
  </si>
  <si>
    <t>20 (VIII)</t>
  </si>
  <si>
    <t>Cecilia III</t>
  </si>
  <si>
    <t>Don Dionisio II</t>
  </si>
  <si>
    <t>63 (VIII)</t>
  </si>
  <si>
    <t>1 (XIV)</t>
  </si>
  <si>
    <t>Rolando</t>
  </si>
  <si>
    <t>Alberto M</t>
  </si>
  <si>
    <t>62 (VIII)</t>
  </si>
  <si>
    <t>Rio Valdivia</t>
  </si>
  <si>
    <t>Noemi Simoney</t>
  </si>
  <si>
    <t>Rio Queule I</t>
  </si>
  <si>
    <t>Rio Tolten I</t>
  </si>
  <si>
    <t>10 (X)</t>
  </si>
  <si>
    <t>Gabriela Monsalve Cisternas</t>
  </si>
  <si>
    <t>Raul M</t>
  </si>
  <si>
    <t xml:space="preserve">Moises B </t>
  </si>
  <si>
    <t>22 (VIII)</t>
  </si>
  <si>
    <t>Don Ulmes</t>
  </si>
  <si>
    <t>Linares</t>
  </si>
  <si>
    <t>AG ACER. RAG 3793</t>
  </si>
  <si>
    <t>AG APACER. RAG 46-14</t>
  </si>
  <si>
    <t>STI DE AMARGO. RSU 14.01.0105</t>
  </si>
  <si>
    <t>STI ARPAVAL. RSU 14.01.0514</t>
  </si>
  <si>
    <t>5 (XIV)</t>
  </si>
  <si>
    <t>Orka I</t>
  </si>
  <si>
    <t xml:space="preserve">Chumingo </t>
  </si>
  <si>
    <t>Isaac II</t>
  </si>
  <si>
    <t>Don Angel</t>
  </si>
  <si>
    <t>Aguila Real</t>
  </si>
  <si>
    <t>José Beltran Aquevedo</t>
  </si>
  <si>
    <t>Azariel</t>
  </si>
  <si>
    <t>Julio Sáez Muñoz</t>
  </si>
  <si>
    <t>Ebenezer II</t>
  </si>
  <si>
    <t>Fabián Monsalve Salas</t>
  </si>
  <si>
    <t>Soc. Pesquera Mehuin Rey Ltda.</t>
  </si>
  <si>
    <t>Orion Limitada Pesq.</t>
  </si>
  <si>
    <t>Antares V</t>
  </si>
  <si>
    <t>Achernar</t>
  </si>
  <si>
    <t>Susan Monsalve Salas</t>
  </si>
  <si>
    <t>31 (VIII)</t>
  </si>
  <si>
    <t>Nicolas</t>
  </si>
  <si>
    <t>Moises B</t>
  </si>
  <si>
    <t>Don Luis D</t>
  </si>
  <si>
    <t>Cristian Antonio</t>
  </si>
  <si>
    <t xml:space="preserve">Samaritano </t>
  </si>
  <si>
    <t>Don Joaquin</t>
  </si>
  <si>
    <t>Samaritano I</t>
  </si>
  <si>
    <t>Punta Brava</t>
  </si>
  <si>
    <t>Lidia C</t>
  </si>
  <si>
    <t>Marbella</t>
  </si>
  <si>
    <t>Feidipides</t>
  </si>
  <si>
    <t>Lascar II</t>
  </si>
  <si>
    <t>Doña Violeta</t>
  </si>
  <si>
    <t>50 (VIII)</t>
  </si>
  <si>
    <t>Adriana IX</t>
  </si>
  <si>
    <t>Adriana X</t>
  </si>
  <si>
    <t>Adriana</t>
  </si>
  <si>
    <t>Don Ismael</t>
  </si>
  <si>
    <t>Enzo Nicolas I</t>
  </si>
  <si>
    <t>38 (VIII)</t>
  </si>
  <si>
    <t>12 (VIII)</t>
  </si>
  <si>
    <t>43 (VIII)</t>
  </si>
  <si>
    <t>17 (VIII)</t>
  </si>
  <si>
    <t>Lorenzo</t>
  </si>
  <si>
    <t>Turimar I</t>
  </si>
  <si>
    <t>Juan Marcelo</t>
  </si>
  <si>
    <t>42 (VIII)</t>
  </si>
  <si>
    <t>Lago Ranco</t>
  </si>
  <si>
    <t>4 (XIV)</t>
  </si>
  <si>
    <t>DZP IX-XIV</t>
  </si>
  <si>
    <t>30 (VIII)</t>
  </si>
  <si>
    <t>Joya II</t>
  </si>
  <si>
    <t>Centuriom 2000</t>
  </si>
  <si>
    <t>Novamar SpA</t>
  </si>
  <si>
    <t>Paola I</t>
  </si>
  <si>
    <t>Raul Monsalve Cisternas</t>
  </si>
  <si>
    <t>Jacob-Israel</t>
  </si>
  <si>
    <t>Lota Protein S.A.</t>
  </si>
  <si>
    <t>Rio Jordan IV</t>
  </si>
  <si>
    <t>Rio Jordan X</t>
  </si>
  <si>
    <t>Rio Jordan XI</t>
  </si>
  <si>
    <t>Rio Jordan XII</t>
  </si>
  <si>
    <t>Juan Antonio M</t>
  </si>
  <si>
    <t>Don Agustin</t>
  </si>
  <si>
    <t>Agustin I</t>
  </si>
  <si>
    <t>44 (VIII)</t>
  </si>
  <si>
    <t>Palmi III</t>
  </si>
  <si>
    <t>Palmi II</t>
  </si>
  <si>
    <t>Gaviota I</t>
  </si>
  <si>
    <t>Susana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</si>
</sst>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  <numFmt numFmtId="170" formatCode="[$-F800]dddd\,\ mmmm\ dd\,\ yyyy"/>
    <numFmt numFmtId="171" formatCode="#,##0.000"/>
    <numFmt numFmtId="172" formatCode="0.00000000"/>
  </numFmts>
  <fonts count="4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1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1729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  <xf numFmtId="165" fontId="2" fillId="0" borderId="0" applyFont="0" applyFill="0" applyBorder="0" applyAlignment="0" applyProtection="0"/>
  </cellStyleXfs>
  <cellXfs count="228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1" xfId="0" applyNumberFormat="1" applyBorder="1"/>
    <xf numFmtId="14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0" fillId="30" borderId="0" xfId="0" applyFill="1"/>
    <xf numFmtId="9" fontId="0" fillId="0" borderId="0" xfId="1" applyFont="1" applyFill="1" applyBorder="1"/>
    <xf numFmtId="9" fontId="0" fillId="0" borderId="0" xfId="1" applyFont="1"/>
    <xf numFmtId="0" fontId="3" fillId="29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168" fontId="0" fillId="0" borderId="1" xfId="0" applyNumberFormat="1" applyBorder="1"/>
    <xf numFmtId="0" fontId="3" fillId="33" borderId="2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3" fillId="36" borderId="1" xfId="0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169" fontId="0" fillId="0" borderId="1" xfId="0" applyNumberFormat="1" applyBorder="1"/>
    <xf numFmtId="14" fontId="36" fillId="0" borderId="1" xfId="0" applyNumberFormat="1" applyFont="1" applyBorder="1" applyAlignment="1">
      <alignment horizontal="center" vertical="center"/>
    </xf>
    <xf numFmtId="0" fontId="0" fillId="33" borderId="1" xfId="0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29" borderId="1" xfId="0" applyNumberFormat="1" applyFill="1" applyBorder="1" applyAlignment="1">
      <alignment horizontal="center" vertical="center" wrapText="1"/>
    </xf>
    <xf numFmtId="166" fontId="3" fillId="29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/>
    <xf numFmtId="0" fontId="0" fillId="0" borderId="1" xfId="0" applyBorder="1" applyAlignment="1">
      <alignment vertical="center"/>
    </xf>
    <xf numFmtId="9" fontId="0" fillId="0" borderId="0" xfId="1" applyFont="1" applyAlignment="1">
      <alignment horizontal="center" vertical="center"/>
    </xf>
    <xf numFmtId="9" fontId="3" fillId="29" borderId="1" xfId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7" applyFill="1" applyBorder="1"/>
    <xf numFmtId="166" fontId="0" fillId="0" borderId="3" xfId="0" applyNumberFormat="1" applyBorder="1"/>
    <xf numFmtId="14" fontId="0" fillId="37" borderId="1" xfId="0" applyNumberFormat="1" applyFill="1" applyBorder="1"/>
    <xf numFmtId="0" fontId="0" fillId="0" borderId="1" xfId="41728" applyNumberFormat="1" applyFont="1" applyBorder="1"/>
    <xf numFmtId="166" fontId="0" fillId="0" borderId="1" xfId="0" applyNumberFormat="1" applyBorder="1" applyAlignment="1">
      <alignment vertical="center"/>
    </xf>
    <xf numFmtId="0" fontId="3" fillId="26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vertical="center" wrapText="1"/>
    </xf>
    <xf numFmtId="0" fontId="3" fillId="26" borderId="3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9" fontId="0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5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9" fontId="0" fillId="0" borderId="1" xfId="1" applyFont="1" applyFill="1" applyBorder="1" applyAlignment="1">
      <alignment vertical="center"/>
    </xf>
    <xf numFmtId="0" fontId="0" fillId="37" borderId="1" xfId="0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4" xfId="1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14" fontId="0" fillId="0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166" fontId="27" fillId="37" borderId="1" xfId="0" applyNumberFormat="1" applyFont="1" applyFill="1" applyBorder="1" applyAlignment="1">
      <alignment vertical="center" wrapText="1"/>
    </xf>
    <xf numFmtId="171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39" borderId="0" xfId="0" applyFill="1"/>
    <xf numFmtId="0" fontId="3" fillId="39" borderId="0" xfId="0" applyFont="1" applyFill="1"/>
    <xf numFmtId="14" fontId="0" fillId="39" borderId="0" xfId="0" applyNumberFormat="1" applyFill="1"/>
    <xf numFmtId="9" fontId="3" fillId="39" borderId="0" xfId="1" applyFont="1" applyFill="1"/>
    <xf numFmtId="14" fontId="3" fillId="39" borderId="0" xfId="1" applyNumberFormat="1" applyFont="1" applyFill="1" applyAlignment="1">
      <alignment horizontal="center" vertical="center"/>
    </xf>
    <xf numFmtId="166" fontId="3" fillId="39" borderId="0" xfId="0" applyNumberFormat="1" applyFont="1" applyFill="1"/>
    <xf numFmtId="0" fontId="0" fillId="0" borderId="18" xfId="0" applyBorder="1"/>
    <xf numFmtId="168" fontId="0" fillId="3" borderId="1" xfId="0" applyNumberFormat="1" applyFill="1" applyBorder="1"/>
    <xf numFmtId="0" fontId="38" fillId="33" borderId="0" xfId="0" applyFont="1" applyFill="1" applyAlignment="1">
      <alignment horizontal="center" vertical="center"/>
    </xf>
    <xf numFmtId="0" fontId="0" fillId="32" borderId="1" xfId="0" applyFill="1" applyBorder="1"/>
    <xf numFmtId="0" fontId="0" fillId="32" borderId="2" xfId="0" applyFill="1" applyBorder="1"/>
    <xf numFmtId="0" fontId="0" fillId="0" borderId="2" xfId="0" applyBorder="1"/>
    <xf numFmtId="0" fontId="0" fillId="0" borderId="4" xfId="0" applyBorder="1"/>
    <xf numFmtId="172" fontId="0" fillId="0" borderId="4" xfId="0" applyNumberFormat="1" applyBorder="1"/>
    <xf numFmtId="0" fontId="0" fillId="33" borderId="1" xfId="0" applyFill="1" applyBorder="1"/>
    <xf numFmtId="0" fontId="0" fillId="0" borderId="4" xfId="0" applyBorder="1" applyAlignment="1">
      <alignment horizontal="center" vertical="center"/>
    </xf>
    <xf numFmtId="2" fontId="0" fillId="0" borderId="0" xfId="0" applyNumberFormat="1"/>
    <xf numFmtId="0" fontId="3" fillId="0" borderId="0" xfId="0" applyFont="1"/>
    <xf numFmtId="9" fontId="3" fillId="0" borderId="0" xfId="0" applyNumberFormat="1" applyFont="1"/>
    <xf numFmtId="9" fontId="0" fillId="0" borderId="0" xfId="1" applyFont="1" applyFill="1" applyAlignment="1">
      <alignment horizontal="center" vertical="center"/>
    </xf>
    <xf numFmtId="0" fontId="27" fillId="0" borderId="0" xfId="0" applyFont="1"/>
    <xf numFmtId="14" fontId="3" fillId="0" borderId="0" xfId="0" applyNumberFormat="1" applyFont="1" applyAlignment="1">
      <alignment horizontal="center" vertical="center"/>
    </xf>
    <xf numFmtId="9" fontId="3" fillId="0" borderId="0" xfId="1" applyFont="1" applyFill="1"/>
    <xf numFmtId="14" fontId="3" fillId="0" borderId="0" xfId="1" applyNumberFormat="1" applyFont="1" applyFill="1" applyAlignment="1">
      <alignment horizontal="center" vertical="center"/>
    </xf>
    <xf numFmtId="14" fontId="3" fillId="0" borderId="0" xfId="0" applyNumberFormat="1" applyFont="1"/>
    <xf numFmtId="9" fontId="0" fillId="0" borderId="0" xfId="1" applyFont="1" applyFill="1"/>
    <xf numFmtId="14" fontId="3" fillId="39" borderId="0" xfId="0" applyNumberFormat="1" applyFont="1" applyFill="1"/>
    <xf numFmtId="171" fontId="0" fillId="0" borderId="1" xfId="0" applyNumberFormat="1" applyBorder="1"/>
    <xf numFmtId="171" fontId="0" fillId="0" borderId="1" xfId="0" applyNumberFormat="1" applyBorder="1" applyAlignment="1">
      <alignment vertical="center"/>
    </xf>
    <xf numFmtId="0" fontId="3" fillId="33" borderId="3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6" fillId="33" borderId="1" xfId="0" applyFont="1" applyFill="1" applyBorder="1"/>
    <xf numFmtId="0" fontId="3" fillId="40" borderId="1" xfId="0" applyFont="1" applyFill="1" applyBorder="1" applyAlignment="1">
      <alignment horizontal="center"/>
    </xf>
    <xf numFmtId="0" fontId="6" fillId="32" borderId="1" xfId="0" applyFont="1" applyFill="1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1" xfId="1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39" borderId="1" xfId="0" applyFill="1" applyBorder="1"/>
    <xf numFmtId="166" fontId="0" fillId="39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4" fillId="28" borderId="0" xfId="0" applyFont="1" applyFill="1" applyAlignment="1">
      <alignment horizontal="center"/>
    </xf>
    <xf numFmtId="170" fontId="3" fillId="2" borderId="0" xfId="0" applyNumberFormat="1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vertical="center" textRotation="90"/>
    </xf>
    <xf numFmtId="0" fontId="28" fillId="26" borderId="0" xfId="0" applyFont="1" applyFill="1" applyAlignment="1">
      <alignment vertical="center" textRotation="90"/>
    </xf>
    <xf numFmtId="0" fontId="3" fillId="26" borderId="14" xfId="0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0" fontId="3" fillId="26" borderId="14" xfId="0" applyFont="1" applyFill="1" applyBorder="1" applyAlignment="1">
      <alignment vertical="center" textRotation="90"/>
    </xf>
    <xf numFmtId="0" fontId="3" fillId="26" borderId="0" xfId="0" applyFont="1" applyFill="1" applyAlignment="1">
      <alignment vertical="center" textRotation="90"/>
    </xf>
    <xf numFmtId="0" fontId="3" fillId="26" borderId="17" xfId="0" applyFont="1" applyFill="1" applyBorder="1" applyAlignment="1">
      <alignment vertical="center" textRotation="90"/>
    </xf>
    <xf numFmtId="0" fontId="1" fillId="26" borderId="0" xfId="0" applyFont="1" applyFill="1" applyAlignment="1">
      <alignment horizontal="center" vertical="center"/>
    </xf>
    <xf numFmtId="14" fontId="0" fillId="26" borderId="0" xfId="0" applyNumberFormat="1" applyFill="1" applyAlignment="1">
      <alignment vertical="center"/>
    </xf>
    <xf numFmtId="0" fontId="0" fillId="26" borderId="0" xfId="0" applyFill="1" applyAlignment="1">
      <alignment vertical="center"/>
    </xf>
    <xf numFmtId="0" fontId="3" fillId="26" borderId="15" xfId="0" applyFont="1" applyFill="1" applyBorder="1" applyAlignment="1">
      <alignment vertical="center" wrapText="1"/>
    </xf>
    <xf numFmtId="0" fontId="3" fillId="26" borderId="16" xfId="0" applyFont="1" applyFill="1" applyBorder="1" applyAlignment="1">
      <alignment vertical="center" wrapText="1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14" fontId="3" fillId="32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1729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" xfId="41728" builtinId="3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" xfId="1" builtinId="5"/>
    <cellStyle name="Porcentaje 2" xfId="202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9" defaultPivotStyle="PivotStyleLight16"/>
  <colors>
    <mruColors>
      <color rgb="FFCC66FF"/>
      <color rgb="FF9933FF"/>
      <color rgb="FFFFFF99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J42"/>
  <sheetViews>
    <sheetView tabSelected="1" workbookViewId="0">
      <selection activeCell="B4" sqref="B4:J4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  <col min="8" max="8" width="11.85546875" bestFit="1" customWidth="1"/>
  </cols>
  <sheetData>
    <row r="2" spans="2:10" ht="18.75">
      <c r="B2" s="158" t="s">
        <v>330</v>
      </c>
      <c r="C2" s="158"/>
      <c r="D2" s="158"/>
      <c r="E2" s="158"/>
      <c r="F2" s="158"/>
      <c r="G2" s="158"/>
      <c r="H2" s="158"/>
      <c r="I2" s="158"/>
      <c r="J2" s="158"/>
    </row>
    <row r="3" spans="2:10">
      <c r="B3" s="159">
        <v>45483</v>
      </c>
      <c r="C3" s="159"/>
      <c r="D3" s="159"/>
      <c r="E3" s="159"/>
      <c r="F3" s="159"/>
      <c r="G3" s="159"/>
      <c r="H3" s="159"/>
      <c r="I3" s="159"/>
      <c r="J3" s="159"/>
    </row>
    <row r="4" spans="2:10">
      <c r="B4" s="163" t="s">
        <v>289</v>
      </c>
      <c r="C4" s="163"/>
      <c r="D4" s="163"/>
      <c r="E4" s="163"/>
      <c r="F4" s="163"/>
      <c r="G4" s="163"/>
      <c r="H4" s="163"/>
      <c r="I4" s="163"/>
      <c r="J4" s="163"/>
    </row>
    <row r="6" spans="2:10" ht="29.25" customHeight="1">
      <c r="B6" s="17" t="s">
        <v>145</v>
      </c>
      <c r="C6" s="17" t="s">
        <v>146</v>
      </c>
      <c r="D6" s="17" t="s">
        <v>144</v>
      </c>
      <c r="E6" s="18" t="s">
        <v>1</v>
      </c>
      <c r="F6" s="18" t="s">
        <v>131</v>
      </c>
      <c r="G6" s="18" t="s">
        <v>132</v>
      </c>
      <c r="H6" s="18" t="s">
        <v>133</v>
      </c>
      <c r="I6" s="18" t="s">
        <v>134</v>
      </c>
      <c r="J6" s="18" t="s">
        <v>135</v>
      </c>
    </row>
    <row r="7" spans="2:10" ht="15" customHeight="1">
      <c r="B7" s="160" t="s">
        <v>143</v>
      </c>
      <c r="C7" s="162" t="s">
        <v>136</v>
      </c>
      <c r="D7" s="16" t="s">
        <v>38</v>
      </c>
      <c r="E7" s="21">
        <f>Anchoveta!F13</f>
        <v>13147.000000000002</v>
      </c>
      <c r="F7" s="1">
        <f>Anchoveta!G13</f>
        <v>-10192.507</v>
      </c>
      <c r="G7" s="1">
        <f>E7+F7</f>
        <v>2954.4930000000022</v>
      </c>
      <c r="H7" s="1">
        <f>Anchoveta!I13</f>
        <v>0</v>
      </c>
      <c r="I7" s="1">
        <f>G7-H7</f>
        <v>2954.4930000000022</v>
      </c>
      <c r="J7" s="4">
        <f>H7/G7</f>
        <v>0</v>
      </c>
    </row>
    <row r="8" spans="2:10">
      <c r="B8" s="160"/>
      <c r="C8" s="162"/>
      <c r="D8" s="16" t="s">
        <v>126</v>
      </c>
      <c r="E8" s="21">
        <f>Anchoveta!F16</f>
        <v>85</v>
      </c>
      <c r="F8" s="1">
        <f>Anchoveta!G16</f>
        <v>0</v>
      </c>
      <c r="G8" s="1">
        <f t="shared" ref="G8:G22" si="0">E8+F8</f>
        <v>85</v>
      </c>
      <c r="H8" s="1">
        <f>Anchoveta!I16</f>
        <v>0</v>
      </c>
      <c r="I8" s="1">
        <f t="shared" ref="I8:I22" si="1">G8-H8</f>
        <v>85</v>
      </c>
      <c r="J8" s="4">
        <f t="shared" ref="J8:J22" si="2">H8/G8</f>
        <v>0</v>
      </c>
    </row>
    <row r="9" spans="2:10">
      <c r="B9" s="160"/>
      <c r="C9" s="162"/>
      <c r="D9" s="16" t="s">
        <v>127</v>
      </c>
      <c r="E9" s="21">
        <f>Anchoveta!F21</f>
        <v>1405</v>
      </c>
      <c r="F9" s="1">
        <f>Anchoveta!G21</f>
        <v>-347.23899999999998</v>
      </c>
      <c r="G9" s="1">
        <f t="shared" si="0"/>
        <v>1057.761</v>
      </c>
      <c r="H9" s="1">
        <f>Anchoveta!I21</f>
        <v>0</v>
      </c>
      <c r="I9" s="1">
        <f t="shared" si="1"/>
        <v>1057.761</v>
      </c>
      <c r="J9" s="4">
        <f t="shared" si="2"/>
        <v>0</v>
      </c>
    </row>
    <row r="10" spans="2:10">
      <c r="B10" s="160"/>
      <c r="C10" s="162"/>
      <c r="D10" s="16" t="s">
        <v>128</v>
      </c>
      <c r="E10" s="21">
        <f>Anchoveta!F107</f>
        <v>168463.92400000003</v>
      </c>
      <c r="F10" s="1">
        <f>Anchoveta!G107</f>
        <v>-2149.7269999999999</v>
      </c>
      <c r="G10" s="1">
        <f t="shared" si="0"/>
        <v>166314.19700000001</v>
      </c>
      <c r="H10" s="1">
        <f>Anchoveta!I107</f>
        <v>70633.411999999997</v>
      </c>
      <c r="I10" s="1">
        <f t="shared" si="1"/>
        <v>95680.785000000018</v>
      </c>
      <c r="J10" s="4">
        <f t="shared" si="2"/>
        <v>0.42469863231218913</v>
      </c>
    </row>
    <row r="11" spans="2:10">
      <c r="B11" s="160"/>
      <c r="C11" s="162"/>
      <c r="D11" s="16" t="s">
        <v>283</v>
      </c>
      <c r="E11" s="21" t="s">
        <v>263</v>
      </c>
      <c r="F11" s="1">
        <f>Anchoveta!G106</f>
        <v>41472.276000000005</v>
      </c>
      <c r="G11" s="1">
        <f>F11</f>
        <v>41472.276000000005</v>
      </c>
      <c r="H11" s="1">
        <f>Anchoveta!I106</f>
        <v>20062.420999999995</v>
      </c>
      <c r="I11" s="1">
        <f t="shared" si="1"/>
        <v>21409.85500000001</v>
      </c>
      <c r="J11" s="4">
        <f t="shared" si="2"/>
        <v>0.48375500298078633</v>
      </c>
    </row>
    <row r="12" spans="2:10">
      <c r="B12" s="160"/>
      <c r="C12" s="162"/>
      <c r="D12" s="16" t="s">
        <v>129</v>
      </c>
      <c r="E12" s="21">
        <f>Anchoveta!F111</f>
        <v>2625</v>
      </c>
      <c r="F12" s="1">
        <f>Anchoveta!G111</f>
        <v>0</v>
      </c>
      <c r="G12" s="1">
        <f t="shared" si="0"/>
        <v>2625</v>
      </c>
      <c r="H12" s="1">
        <f>Anchoveta!I111</f>
        <v>1453.922</v>
      </c>
      <c r="I12" s="1">
        <f t="shared" si="1"/>
        <v>1171.078</v>
      </c>
      <c r="J12" s="4">
        <f t="shared" si="2"/>
        <v>0.5538750476190476</v>
      </c>
    </row>
    <row r="13" spans="2:10">
      <c r="B13" s="160"/>
      <c r="C13" s="162"/>
      <c r="D13" s="16" t="s">
        <v>284</v>
      </c>
      <c r="E13" s="21" t="s">
        <v>263</v>
      </c>
      <c r="F13" s="1">
        <f>Anchoveta!G110</f>
        <v>2523.1289999999999</v>
      </c>
      <c r="G13" s="1">
        <f>F13</f>
        <v>2523.1289999999999</v>
      </c>
      <c r="H13" s="1">
        <f>Anchoveta!I110</f>
        <v>156.596</v>
      </c>
      <c r="I13" s="1">
        <f t="shared" si="1"/>
        <v>2366.5329999999999</v>
      </c>
      <c r="J13" s="4">
        <f t="shared" si="2"/>
        <v>6.206420678451241E-2</v>
      </c>
    </row>
    <row r="14" spans="2:10">
      <c r="B14" s="160"/>
      <c r="C14" s="162"/>
      <c r="D14" s="16" t="s">
        <v>43</v>
      </c>
      <c r="E14" s="21">
        <f>Anchoveta!F125</f>
        <v>15818.012000000002</v>
      </c>
      <c r="F14" s="1">
        <f>Anchoveta!G125</f>
        <v>-1615.9549999999999</v>
      </c>
      <c r="G14" s="1">
        <f t="shared" si="0"/>
        <v>14202.057000000003</v>
      </c>
      <c r="H14" s="1">
        <f>Anchoveta!I125</f>
        <v>9251.5300000000007</v>
      </c>
      <c r="I14" s="1">
        <f t="shared" si="1"/>
        <v>4950.5270000000019</v>
      </c>
      <c r="J14" s="4">
        <f t="shared" si="2"/>
        <v>0.65142183276690124</v>
      </c>
    </row>
    <row r="15" spans="2:10">
      <c r="B15" s="160"/>
      <c r="C15" s="162"/>
      <c r="D15" s="16" t="s">
        <v>285</v>
      </c>
      <c r="E15" s="21" t="s">
        <v>263</v>
      </c>
      <c r="F15" s="1">
        <f>Anchoveta!G124</f>
        <v>6976.6530000000002</v>
      </c>
      <c r="G15" s="1">
        <f>F15</f>
        <v>6976.6530000000002</v>
      </c>
      <c r="H15" s="1">
        <f>Anchoveta!I124</f>
        <v>1592.6469999999997</v>
      </c>
      <c r="I15" s="1">
        <f t="shared" si="1"/>
        <v>5384.0060000000003</v>
      </c>
      <c r="J15" s="4">
        <f t="shared" si="2"/>
        <v>0.22828238698413117</v>
      </c>
    </row>
    <row r="16" spans="2:10">
      <c r="B16" s="160"/>
      <c r="C16" s="162"/>
      <c r="D16" s="16" t="s">
        <v>130</v>
      </c>
      <c r="E16" s="21">
        <f>Anchoveta!F139</f>
        <v>9745.0010000000002</v>
      </c>
      <c r="F16" s="1">
        <f>Anchoveta!G139</f>
        <v>-4277.6509999999998</v>
      </c>
      <c r="G16" s="1">
        <f t="shared" si="0"/>
        <v>5467.35</v>
      </c>
      <c r="H16" s="1">
        <f>Anchoveta!I139</f>
        <v>334.95799999999997</v>
      </c>
      <c r="I16" s="1">
        <f t="shared" si="1"/>
        <v>5132.3920000000007</v>
      </c>
      <c r="J16" s="4">
        <f t="shared" si="2"/>
        <v>6.1265146734706934E-2</v>
      </c>
    </row>
    <row r="17" spans="2:10">
      <c r="B17" s="160"/>
      <c r="C17" s="162"/>
      <c r="D17" s="16" t="s">
        <v>137</v>
      </c>
      <c r="E17" s="21">
        <v>210</v>
      </c>
      <c r="F17" s="1"/>
      <c r="G17" s="1">
        <f t="shared" si="0"/>
        <v>210</v>
      </c>
      <c r="H17" s="1"/>
      <c r="I17" s="1">
        <f t="shared" si="1"/>
        <v>210</v>
      </c>
      <c r="J17" s="4">
        <f t="shared" si="2"/>
        <v>0</v>
      </c>
    </row>
    <row r="18" spans="2:10">
      <c r="B18" s="160"/>
      <c r="C18" s="161" t="s">
        <v>138</v>
      </c>
      <c r="D18" s="161"/>
      <c r="E18" s="21">
        <f>'Anchov y SardC LTP'!G33</f>
        <v>59653.005965299992</v>
      </c>
      <c r="F18" s="1">
        <f>'Anchov y SardC LTP'!H33</f>
        <v>-32388.979000000003</v>
      </c>
      <c r="G18" s="1">
        <f t="shared" si="0"/>
        <v>27264.026965299989</v>
      </c>
      <c r="H18" s="1">
        <f>'Anchov y SardC LTP'!J33</f>
        <v>820.15699999999993</v>
      </c>
      <c r="I18" s="1">
        <f t="shared" si="1"/>
        <v>26443.869965299989</v>
      </c>
      <c r="J18" s="4">
        <f t="shared" si="2"/>
        <v>3.0082019836755822E-2</v>
      </c>
    </row>
    <row r="19" spans="2:10">
      <c r="B19" s="160"/>
      <c r="C19" s="161" t="s">
        <v>139</v>
      </c>
      <c r="D19" s="161"/>
      <c r="E19" s="21">
        <v>150</v>
      </c>
      <c r="F19" s="1"/>
      <c r="G19" s="1">
        <f t="shared" si="0"/>
        <v>150</v>
      </c>
      <c r="H19" s="1"/>
      <c r="I19" s="1">
        <f t="shared" si="1"/>
        <v>150</v>
      </c>
      <c r="J19" s="4">
        <f t="shared" si="2"/>
        <v>0</v>
      </c>
    </row>
    <row r="20" spans="2:10">
      <c r="B20" s="160"/>
      <c r="C20" s="161" t="s">
        <v>141</v>
      </c>
      <c r="D20" s="161"/>
      <c r="E20" s="21">
        <v>2158</v>
      </c>
      <c r="F20" s="1"/>
      <c r="G20" s="1">
        <f t="shared" si="0"/>
        <v>2158</v>
      </c>
      <c r="H20" s="1">
        <f>'Consumo humano'!F6+'Consumo humano'!F8+'Consumo humano'!F10+'Consumo humano'!F12</f>
        <v>679.08100000000002</v>
      </c>
      <c r="I20" s="1">
        <f t="shared" si="1"/>
        <v>1478.9189999999999</v>
      </c>
      <c r="J20" s="4">
        <f t="shared" si="2"/>
        <v>0.31468072289156629</v>
      </c>
    </row>
    <row r="21" spans="2:10">
      <c r="B21" s="160"/>
      <c r="C21" s="161" t="s">
        <v>140</v>
      </c>
      <c r="D21" s="161"/>
      <c r="E21" s="21">
        <v>2158</v>
      </c>
      <c r="F21" s="1"/>
      <c r="G21" s="1">
        <f t="shared" si="0"/>
        <v>2158</v>
      </c>
      <c r="H21" s="1"/>
      <c r="I21" s="1">
        <f t="shared" si="1"/>
        <v>2158</v>
      </c>
      <c r="J21" s="4">
        <f>(F21/E21)*-1</f>
        <v>0</v>
      </c>
    </row>
    <row r="22" spans="2:10">
      <c r="B22" s="160"/>
      <c r="C22" s="161" t="s">
        <v>142</v>
      </c>
      <c r="D22" s="161"/>
      <c r="E22" s="21">
        <f>SUM(E7:E21)</f>
        <v>275617.94296530006</v>
      </c>
      <c r="F22" s="29">
        <f>SUM(F7:F21)</f>
        <v>0</v>
      </c>
      <c r="G22" s="1">
        <f t="shared" si="0"/>
        <v>275617.94296530006</v>
      </c>
      <c r="H22" s="1">
        <f>SUM(H7:H21)</f>
        <v>104984.724</v>
      </c>
      <c r="I22" s="1">
        <f t="shared" si="1"/>
        <v>170633.21896530007</v>
      </c>
      <c r="J22" s="4">
        <f t="shared" si="2"/>
        <v>0.38090671046484603</v>
      </c>
    </row>
    <row r="26" spans="2:10" ht="30.75" customHeight="1">
      <c r="B26" s="8" t="s">
        <v>145</v>
      </c>
      <c r="C26" s="8" t="s">
        <v>146</v>
      </c>
      <c r="D26" s="8" t="s">
        <v>144</v>
      </c>
      <c r="E26" s="19" t="s">
        <v>1</v>
      </c>
      <c r="F26" s="19" t="s">
        <v>131</v>
      </c>
      <c r="G26" s="19" t="s">
        <v>132</v>
      </c>
      <c r="H26" s="19" t="s">
        <v>133</v>
      </c>
      <c r="I26" s="19" t="s">
        <v>134</v>
      </c>
      <c r="J26" s="19" t="s">
        <v>135</v>
      </c>
    </row>
    <row r="27" spans="2:10">
      <c r="B27" s="156" t="s">
        <v>147</v>
      </c>
      <c r="C27" s="157" t="s">
        <v>148</v>
      </c>
      <c r="D27" s="5" t="s">
        <v>38</v>
      </c>
      <c r="E27" s="22">
        <f>'Sardina comun'!F13</f>
        <v>3211</v>
      </c>
      <c r="F27" s="1">
        <f>'Sardina comun'!G13</f>
        <v>-3027.6570000000002</v>
      </c>
      <c r="G27" s="22">
        <f>E27+F27</f>
        <v>183.34299999999985</v>
      </c>
      <c r="H27" s="1">
        <f>'Sardina comun'!I13</f>
        <v>17.600000000000001</v>
      </c>
      <c r="I27" s="22">
        <f>G27-H27</f>
        <v>165.74299999999985</v>
      </c>
      <c r="J27" s="4">
        <f>H27/G27</f>
        <v>9.5994938448700065E-2</v>
      </c>
    </row>
    <row r="28" spans="2:10">
      <c r="B28" s="156"/>
      <c r="C28" s="157"/>
      <c r="D28" s="5" t="s">
        <v>126</v>
      </c>
      <c r="E28" s="22">
        <f>'Sardina comun'!F16</f>
        <v>76</v>
      </c>
      <c r="F28" s="1">
        <f>'Sardina comun'!G16</f>
        <v>0</v>
      </c>
      <c r="G28" s="22">
        <f t="shared" ref="G28:G42" si="3">E28+F28</f>
        <v>76</v>
      </c>
      <c r="H28" s="1">
        <f>'Sardina comun'!I16</f>
        <v>0</v>
      </c>
      <c r="I28" s="22">
        <f t="shared" ref="I28:I42" si="4">G28-H28</f>
        <v>76</v>
      </c>
      <c r="J28" s="4">
        <f t="shared" ref="J28:J42" si="5">H28/G28</f>
        <v>0</v>
      </c>
    </row>
    <row r="29" spans="2:10">
      <c r="B29" s="156"/>
      <c r="C29" s="157"/>
      <c r="D29" s="5" t="s">
        <v>127</v>
      </c>
      <c r="E29" s="22">
        <f>'Sardina comun'!F21</f>
        <v>1160.999</v>
      </c>
      <c r="F29" s="1">
        <f>'Sardina comun'!G21</f>
        <v>-368.16800000000001</v>
      </c>
      <c r="G29" s="22">
        <f t="shared" si="3"/>
        <v>792.83100000000002</v>
      </c>
      <c r="H29" s="1">
        <f>'Sardina comun'!I21</f>
        <v>0</v>
      </c>
      <c r="I29" s="22">
        <f t="shared" si="4"/>
        <v>792.83100000000002</v>
      </c>
      <c r="J29" s="4">
        <f t="shared" si="5"/>
        <v>0</v>
      </c>
    </row>
    <row r="30" spans="2:10">
      <c r="B30" s="156"/>
      <c r="C30" s="157"/>
      <c r="D30" s="5" t="s">
        <v>128</v>
      </c>
      <c r="E30" s="22">
        <f>'Sardina comun'!F107</f>
        <v>181091.00900000008</v>
      </c>
      <c r="F30" s="1">
        <f>'Sardina comun'!G107</f>
        <v>-2560.0670000000014</v>
      </c>
      <c r="G30" s="22">
        <f t="shared" si="3"/>
        <v>178530.94200000007</v>
      </c>
      <c r="H30" s="1">
        <f>'Sardina comun'!I107</f>
        <v>46982.587999999989</v>
      </c>
      <c r="I30" s="22">
        <f t="shared" si="4"/>
        <v>131548.35400000008</v>
      </c>
      <c r="J30" s="4">
        <f t="shared" si="5"/>
        <v>0.26316215818768252</v>
      </c>
    </row>
    <row r="31" spans="2:10">
      <c r="B31" s="156"/>
      <c r="C31" s="157"/>
      <c r="D31" s="5" t="s">
        <v>283</v>
      </c>
      <c r="E31" s="22" t="s">
        <v>263</v>
      </c>
      <c r="F31" s="1">
        <f>'Sardina comun'!G106</f>
        <v>49004.322999999997</v>
      </c>
      <c r="G31" s="22">
        <f>F31</f>
        <v>49004.322999999997</v>
      </c>
      <c r="H31" s="1">
        <f>'Sardina comun'!I106</f>
        <v>17645.269999999997</v>
      </c>
      <c r="I31" s="22">
        <f t="shared" si="4"/>
        <v>31359.053</v>
      </c>
      <c r="J31" s="4">
        <f t="shared" si="5"/>
        <v>0.36007578351811936</v>
      </c>
    </row>
    <row r="32" spans="2:10">
      <c r="B32" s="156"/>
      <c r="C32" s="157"/>
      <c r="D32" s="5" t="s">
        <v>129</v>
      </c>
      <c r="E32" s="22">
        <f>'Sardina comun'!F111</f>
        <v>2680</v>
      </c>
      <c r="F32" s="1">
        <f>'Sardina comun'!G111</f>
        <v>1079.624</v>
      </c>
      <c r="G32" s="22">
        <f t="shared" si="3"/>
        <v>3759.6239999999998</v>
      </c>
      <c r="H32" s="1">
        <f>'Sardina comun'!I111</f>
        <v>5207.28</v>
      </c>
      <c r="I32" s="22">
        <f t="shared" si="4"/>
        <v>-1447.6559999999999</v>
      </c>
      <c r="J32" s="4">
        <f t="shared" si="5"/>
        <v>1.3850533989569169</v>
      </c>
    </row>
    <row r="33" spans="2:10">
      <c r="B33" s="156"/>
      <c r="C33" s="157"/>
      <c r="D33" s="5" t="s">
        <v>284</v>
      </c>
      <c r="E33" s="22" t="s">
        <v>263</v>
      </c>
      <c r="F33" s="1">
        <f>'Sardina comun'!G110</f>
        <v>3530.1790000000001</v>
      </c>
      <c r="G33" s="22">
        <f>F33</f>
        <v>3530.1790000000001</v>
      </c>
      <c r="H33" s="1">
        <f>'Sardina comun'!I110</f>
        <v>1092.962</v>
      </c>
      <c r="I33" s="22">
        <f t="shared" si="4"/>
        <v>2437.2170000000001</v>
      </c>
      <c r="J33" s="4">
        <f t="shared" si="5"/>
        <v>0.30960526364243851</v>
      </c>
    </row>
    <row r="34" spans="2:10">
      <c r="B34" s="156"/>
      <c r="C34" s="157"/>
      <c r="D34" s="5" t="s">
        <v>43</v>
      </c>
      <c r="E34" s="22">
        <f>'Sardina comun'!F125</f>
        <v>25945.998999999996</v>
      </c>
      <c r="F34" s="1">
        <f>'Sardina comun'!G125</f>
        <v>-3547.6169999999997</v>
      </c>
      <c r="G34" s="22">
        <f t="shared" si="3"/>
        <v>22398.381999999998</v>
      </c>
      <c r="H34" s="1">
        <f>'Sardina comun'!I125</f>
        <v>17303.722999999994</v>
      </c>
      <c r="I34" s="22">
        <f t="shared" si="4"/>
        <v>5094.6590000000033</v>
      </c>
      <c r="J34" s="4">
        <f t="shared" si="5"/>
        <v>0.77254343639643241</v>
      </c>
    </row>
    <row r="35" spans="2:10">
      <c r="B35" s="156"/>
      <c r="C35" s="157"/>
      <c r="D35" s="5" t="s">
        <v>285</v>
      </c>
      <c r="E35" s="22" t="s">
        <v>263</v>
      </c>
      <c r="F35" s="1">
        <f>'Sardina comun'!G124</f>
        <v>12436.407999999999</v>
      </c>
      <c r="G35" s="22">
        <f>F35</f>
        <v>12436.407999999999</v>
      </c>
      <c r="H35" s="1">
        <f>'Sardina comun'!I124</f>
        <v>1784.9610000000002</v>
      </c>
      <c r="I35" s="22">
        <f t="shared" ref="I35" si="6">G35-H35</f>
        <v>10651.447</v>
      </c>
      <c r="J35" s="4">
        <f t="shared" ref="J35" si="7">H35/G35</f>
        <v>0.14352705379238123</v>
      </c>
    </row>
    <row r="36" spans="2:10">
      <c r="B36" s="156"/>
      <c r="C36" s="157"/>
      <c r="D36" s="5" t="s">
        <v>130</v>
      </c>
      <c r="E36" s="22">
        <f>'Sardina comun'!F138</f>
        <v>12278.005000000001</v>
      </c>
      <c r="F36" s="1">
        <f>'Sardina comun'!G138</f>
        <v>-9775.0220000000008</v>
      </c>
      <c r="G36" s="22">
        <f t="shared" si="3"/>
        <v>2502.9830000000002</v>
      </c>
      <c r="H36" s="1">
        <f>'Sardina comun'!I138</f>
        <v>193.89500000000001</v>
      </c>
      <c r="I36" s="22">
        <f t="shared" si="4"/>
        <v>2309.0880000000002</v>
      </c>
      <c r="J36" s="4">
        <f t="shared" si="5"/>
        <v>7.7465568084161981E-2</v>
      </c>
    </row>
    <row r="37" spans="2:10">
      <c r="B37" s="156"/>
      <c r="C37" s="157"/>
      <c r="D37" s="5" t="s">
        <v>137</v>
      </c>
      <c r="E37" s="1">
        <v>210</v>
      </c>
      <c r="F37" s="1"/>
      <c r="G37" s="22">
        <f t="shared" si="3"/>
        <v>210</v>
      </c>
      <c r="H37" s="1"/>
      <c r="I37" s="22">
        <f t="shared" si="4"/>
        <v>210</v>
      </c>
      <c r="J37" s="4">
        <f t="shared" si="5"/>
        <v>0</v>
      </c>
    </row>
    <row r="38" spans="2:10">
      <c r="B38" s="156"/>
      <c r="C38" s="155" t="s">
        <v>138</v>
      </c>
      <c r="D38" s="155"/>
      <c r="E38" s="22">
        <f>'Anchov y SardC LTP'!G65</f>
        <v>63928.012785599996</v>
      </c>
      <c r="F38" s="1">
        <f>'Anchov y SardC LTP'!H65</f>
        <v>-45692.378999999994</v>
      </c>
      <c r="G38" s="22">
        <f t="shared" si="3"/>
        <v>18235.633785600003</v>
      </c>
      <c r="H38" s="1">
        <f>'Anchov y SardC LTP'!J65</f>
        <v>393.95</v>
      </c>
      <c r="I38" s="22">
        <f t="shared" si="4"/>
        <v>17841.683785600002</v>
      </c>
      <c r="J38" s="4">
        <f t="shared" si="5"/>
        <v>2.160330727364615E-2</v>
      </c>
    </row>
    <row r="39" spans="2:10">
      <c r="B39" s="156"/>
      <c r="C39" s="155" t="s">
        <v>139</v>
      </c>
      <c r="D39" s="155"/>
      <c r="E39" s="1">
        <v>150</v>
      </c>
      <c r="F39" s="1"/>
      <c r="G39" s="22">
        <f t="shared" si="3"/>
        <v>150</v>
      </c>
      <c r="H39" s="1"/>
      <c r="I39" s="22">
        <f t="shared" si="4"/>
        <v>150</v>
      </c>
      <c r="J39" s="4">
        <f t="shared" si="5"/>
        <v>0</v>
      </c>
    </row>
    <row r="40" spans="2:10">
      <c r="B40" s="156"/>
      <c r="C40" s="155" t="s">
        <v>141</v>
      </c>
      <c r="D40" s="155"/>
      <c r="E40" s="1">
        <v>2966</v>
      </c>
      <c r="F40" s="1"/>
      <c r="G40" s="22">
        <f t="shared" si="3"/>
        <v>2966</v>
      </c>
      <c r="H40" s="1">
        <f>'Consumo humano'!F7+'Consumo humano'!F9+'Consumo humano'!F11+'Consumo humano'!F13</f>
        <v>1069.364</v>
      </c>
      <c r="I40" s="22">
        <f t="shared" si="4"/>
        <v>1896.636</v>
      </c>
      <c r="J40" s="4">
        <f t="shared" si="5"/>
        <v>0.36054079568442349</v>
      </c>
    </row>
    <row r="41" spans="2:10">
      <c r="B41" s="156"/>
      <c r="C41" s="155" t="s">
        <v>140</v>
      </c>
      <c r="D41" s="155"/>
      <c r="E41" s="1">
        <v>2966</v>
      </c>
      <c r="F41" s="1">
        <f>-1079.624</f>
        <v>-1079.624</v>
      </c>
      <c r="G41" s="22">
        <f t="shared" si="3"/>
        <v>1886.376</v>
      </c>
      <c r="H41" s="1"/>
      <c r="I41" s="22">
        <f t="shared" si="4"/>
        <v>1886.376</v>
      </c>
      <c r="J41" s="4">
        <f t="shared" si="5"/>
        <v>0</v>
      </c>
    </row>
    <row r="42" spans="2:10">
      <c r="B42" s="156"/>
      <c r="C42" s="155" t="s">
        <v>142</v>
      </c>
      <c r="D42" s="155"/>
      <c r="E42" s="22">
        <f>SUM(E27:E41)</f>
        <v>296663.02478560008</v>
      </c>
      <c r="F42" s="29">
        <f>SUM(F27:F41)</f>
        <v>3.4106051316484809E-12</v>
      </c>
      <c r="G42" s="22">
        <f t="shared" si="3"/>
        <v>296663.02478560008</v>
      </c>
      <c r="H42" s="1">
        <f>SUM(H27:H41)</f>
        <v>91691.592999999979</v>
      </c>
      <c r="I42" s="22">
        <f t="shared" si="4"/>
        <v>204971.43178560009</v>
      </c>
      <c r="J42" s="4">
        <f t="shared" si="5"/>
        <v>0.30907657961846097</v>
      </c>
    </row>
  </sheetData>
  <mergeCells count="17">
    <mergeCell ref="B2:J2"/>
    <mergeCell ref="B3:J3"/>
    <mergeCell ref="B7:B22"/>
    <mergeCell ref="C22:D22"/>
    <mergeCell ref="C38:D38"/>
    <mergeCell ref="C21:D21"/>
    <mergeCell ref="C20:D20"/>
    <mergeCell ref="C19:D19"/>
    <mergeCell ref="C18:D18"/>
    <mergeCell ref="C7:C17"/>
    <mergeCell ref="B4:J4"/>
    <mergeCell ref="C42:D42"/>
    <mergeCell ref="B27:B42"/>
    <mergeCell ref="C27:C37"/>
    <mergeCell ref="C39:D39"/>
    <mergeCell ref="C40:D40"/>
    <mergeCell ref="C41:D41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1"/>
  <sheetViews>
    <sheetView zoomScale="85" zoomScaleNormal="85" workbookViewId="0">
      <pane ySplit="3" topLeftCell="A4" activePane="bottomLeft" state="frozen"/>
      <selection pane="bottomLeft" activeCell="M6" sqref="M6"/>
    </sheetView>
  </sheetViews>
  <sheetFormatPr baseColWidth="10" defaultRowHeight="15"/>
  <cols>
    <col min="1" max="1" width="33.28515625" style="39" bestFit="1" customWidth="1"/>
    <col min="2" max="2" width="16.5703125" style="39" customWidth="1"/>
    <col min="3" max="3" width="11.42578125" style="39"/>
    <col min="4" max="4" width="9.85546875" style="39" customWidth="1"/>
    <col min="5" max="5" width="12.140625" style="39" customWidth="1"/>
    <col min="6" max="6" width="9.85546875" style="39" customWidth="1"/>
    <col min="7" max="7" width="11.7109375" style="39" customWidth="1"/>
    <col min="8" max="8" width="16.140625" style="39" customWidth="1"/>
    <col min="9" max="9" width="10" style="39" customWidth="1"/>
    <col min="10" max="10" width="11.42578125" style="39" customWidth="1"/>
    <col min="11" max="11" width="15" style="39" customWidth="1"/>
    <col min="12" max="12" width="11.42578125" style="39"/>
    <col min="13" max="13" width="12.7109375" style="71" customWidth="1"/>
    <col min="14" max="16" width="11.42578125" style="39"/>
    <col min="17" max="17" width="13.28515625" style="39" customWidth="1"/>
    <col min="18" max="18" width="12.5703125" style="39" bestFit="1" customWidth="1"/>
    <col min="19" max="19" width="9.7109375" style="39" bestFit="1" customWidth="1"/>
    <col min="20" max="20" width="13.85546875" style="39" bestFit="1" customWidth="1"/>
    <col min="21" max="21" width="11" style="39" bestFit="1" customWidth="1"/>
    <col min="22" max="16384" width="11.42578125" style="39"/>
  </cols>
  <sheetData>
    <row r="2" spans="1:21">
      <c r="B2" s="210" t="s">
        <v>195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R2" s="30" t="s">
        <v>275</v>
      </c>
      <c r="S2" s="30" t="s">
        <v>276</v>
      </c>
      <c r="T2" s="30" t="s">
        <v>277</v>
      </c>
      <c r="U2" s="30" t="s">
        <v>278</v>
      </c>
    </row>
    <row r="3" spans="1:21" ht="45">
      <c r="A3" s="46" t="s">
        <v>197</v>
      </c>
      <c r="B3" s="53" t="s">
        <v>186</v>
      </c>
      <c r="C3" s="53" t="s">
        <v>187</v>
      </c>
      <c r="D3" s="53" t="s">
        <v>188</v>
      </c>
      <c r="E3" s="53" t="s">
        <v>198</v>
      </c>
      <c r="F3" s="53" t="s">
        <v>189</v>
      </c>
      <c r="G3" s="53" t="s">
        <v>200</v>
      </c>
      <c r="H3" s="53" t="s">
        <v>190</v>
      </c>
      <c r="I3" s="53" t="s">
        <v>191</v>
      </c>
      <c r="J3" s="53" t="s">
        <v>192</v>
      </c>
      <c r="K3" s="53" t="s">
        <v>193</v>
      </c>
      <c r="L3" s="57" t="s">
        <v>194</v>
      </c>
      <c r="M3" s="53" t="s">
        <v>133</v>
      </c>
      <c r="N3" s="53" t="s">
        <v>134</v>
      </c>
      <c r="O3" s="53" t="s">
        <v>135</v>
      </c>
      <c r="R3" s="64">
        <f>M6+M12+M14+M26+M28+M30+M32+M101+M105+M107+M109+M111</f>
        <v>156.596</v>
      </c>
      <c r="S3" s="64">
        <f>M7+M13+M15+M27+M29+M31+M33+M102+M106+M108+M110+M112</f>
        <v>1092.962</v>
      </c>
      <c r="T3" s="64">
        <f>M4+M8+M10+M16+M18+M20+M22+M24+M34+M36+M38+M43+M45+M47+M49+M51+M53+M55+M57+M59+M61+M63+M65+M67+M69+M71+M73+M75+M77+M79+M81+M83+M85+M87+M89+M91+M93+M94+M97+M99+M103</f>
        <v>1592.6469999999997</v>
      </c>
      <c r="U3" s="64">
        <f>M5+M9+M11+M17+M19+M21+M23+M25+M35+M37+M39+M40+M41+M42+M44+M46+M48+M50+M52+M54+M56+M60+M58+M62+M64+M66+M68+M70+M72+M74+M76+M78+M80+M82+M84+M86+M88+M90+M92+M95+M96+M98+M100+M104</f>
        <v>1784.9610000000002</v>
      </c>
    </row>
    <row r="4" spans="1:21">
      <c r="A4" s="30" t="s">
        <v>406</v>
      </c>
      <c r="B4" s="30" t="s">
        <v>345</v>
      </c>
      <c r="C4" s="73">
        <v>45342</v>
      </c>
      <c r="D4" s="30">
        <v>457</v>
      </c>
      <c r="E4" s="30" t="s">
        <v>346</v>
      </c>
      <c r="F4" s="30" t="s">
        <v>377</v>
      </c>
      <c r="G4" s="30" t="s">
        <v>201</v>
      </c>
      <c r="H4" s="30" t="s">
        <v>407</v>
      </c>
      <c r="I4" s="30">
        <v>951220</v>
      </c>
      <c r="J4" s="30"/>
      <c r="K4" s="30" t="s">
        <v>181</v>
      </c>
      <c r="L4" s="64">
        <v>150</v>
      </c>
      <c r="M4" s="143">
        <v>116.96299999999999</v>
      </c>
      <c r="N4" s="64">
        <f t="shared" ref="N4:N41" si="0">L4-M4</f>
        <v>33.037000000000006</v>
      </c>
      <c r="O4" s="54">
        <f t="shared" ref="O4:O41" si="1">M4/L4</f>
        <v>0.7797533333333333</v>
      </c>
    </row>
    <row r="5" spans="1:21">
      <c r="A5" s="30" t="s">
        <v>406</v>
      </c>
      <c r="B5" s="30" t="s">
        <v>345</v>
      </c>
      <c r="C5" s="73">
        <v>45342</v>
      </c>
      <c r="D5" s="30">
        <v>457</v>
      </c>
      <c r="E5" s="30" t="s">
        <v>346</v>
      </c>
      <c r="F5" s="30" t="s">
        <v>377</v>
      </c>
      <c r="G5" s="30" t="s">
        <v>201</v>
      </c>
      <c r="H5" s="30" t="s">
        <v>407</v>
      </c>
      <c r="I5" s="30">
        <v>951220</v>
      </c>
      <c r="J5" s="30"/>
      <c r="K5" s="30" t="s">
        <v>182</v>
      </c>
      <c r="L5" s="64">
        <v>100</v>
      </c>
      <c r="M5" s="143">
        <f>133.037+8.326</f>
        <v>141.363</v>
      </c>
      <c r="N5" s="64">
        <f t="shared" si="0"/>
        <v>-41.363</v>
      </c>
      <c r="O5" s="54">
        <f t="shared" si="1"/>
        <v>1.4136299999999999</v>
      </c>
    </row>
    <row r="6" spans="1:21">
      <c r="A6" s="30" t="s">
        <v>485</v>
      </c>
      <c r="B6" s="30" t="s">
        <v>345</v>
      </c>
      <c r="C6" s="73">
        <v>45351</v>
      </c>
      <c r="D6" s="30">
        <v>535</v>
      </c>
      <c r="E6" s="30" t="s">
        <v>346</v>
      </c>
      <c r="F6" s="30" t="s">
        <v>377</v>
      </c>
      <c r="G6" s="30" t="s">
        <v>202</v>
      </c>
      <c r="H6" s="30" t="s">
        <v>486</v>
      </c>
      <c r="I6" s="30">
        <v>964021</v>
      </c>
      <c r="J6" s="30"/>
      <c r="K6" s="30" t="s">
        <v>181</v>
      </c>
      <c r="L6" s="64">
        <v>84</v>
      </c>
      <c r="M6" s="143">
        <v>8.468</v>
      </c>
      <c r="N6" s="64">
        <f t="shared" si="0"/>
        <v>75.531999999999996</v>
      </c>
      <c r="O6" s="54">
        <f t="shared" si="1"/>
        <v>0.10080952380952381</v>
      </c>
    </row>
    <row r="7" spans="1:21">
      <c r="A7" s="30" t="s">
        <v>485</v>
      </c>
      <c r="B7" s="30" t="s">
        <v>345</v>
      </c>
      <c r="C7" s="73">
        <v>45351</v>
      </c>
      <c r="D7" s="30">
        <v>535</v>
      </c>
      <c r="E7" s="30" t="s">
        <v>346</v>
      </c>
      <c r="F7" s="30" t="s">
        <v>377</v>
      </c>
      <c r="G7" s="30" t="s">
        <v>202</v>
      </c>
      <c r="H7" s="30" t="s">
        <v>486</v>
      </c>
      <c r="I7" s="30">
        <v>964021</v>
      </c>
      <c r="J7" s="30"/>
      <c r="K7" s="30" t="s">
        <v>182</v>
      </c>
      <c r="L7" s="64">
        <v>136</v>
      </c>
      <c r="M7" s="143">
        <v>176.36500000000001</v>
      </c>
      <c r="N7" s="64">
        <f t="shared" si="0"/>
        <v>-40.365000000000009</v>
      </c>
      <c r="O7" s="54">
        <f t="shared" si="1"/>
        <v>1.2968014705882354</v>
      </c>
    </row>
    <row r="8" spans="1:21">
      <c r="A8" s="30" t="s">
        <v>515</v>
      </c>
      <c r="B8" s="30" t="s">
        <v>345</v>
      </c>
      <c r="C8" s="73">
        <v>45356</v>
      </c>
      <c r="D8" s="30">
        <v>608</v>
      </c>
      <c r="E8" s="30" t="s">
        <v>346</v>
      </c>
      <c r="F8" s="30" t="s">
        <v>344</v>
      </c>
      <c r="G8" s="30" t="s">
        <v>201</v>
      </c>
      <c r="H8" s="30" t="s">
        <v>516</v>
      </c>
      <c r="I8" s="30">
        <v>951206</v>
      </c>
      <c r="J8" s="30"/>
      <c r="K8" s="30" t="s">
        <v>181</v>
      </c>
      <c r="L8" s="64">
        <v>232.47499999999999</v>
      </c>
      <c r="M8" s="143">
        <v>72.338999999999999</v>
      </c>
      <c r="N8" s="64">
        <f t="shared" si="0"/>
        <v>160.136</v>
      </c>
      <c r="O8" s="54">
        <f t="shared" si="1"/>
        <v>0.31116894289708569</v>
      </c>
    </row>
    <row r="9" spans="1:21">
      <c r="A9" s="30" t="s">
        <v>515</v>
      </c>
      <c r="B9" s="30" t="s">
        <v>345</v>
      </c>
      <c r="C9" s="73">
        <v>45356</v>
      </c>
      <c r="D9" s="30">
        <v>608</v>
      </c>
      <c r="E9" s="30" t="s">
        <v>346</v>
      </c>
      <c r="F9" s="30" t="s">
        <v>344</v>
      </c>
      <c r="G9" s="30" t="s">
        <v>201</v>
      </c>
      <c r="H9" s="30" t="s">
        <v>516</v>
      </c>
      <c r="I9" s="30">
        <v>951206</v>
      </c>
      <c r="J9" s="30"/>
      <c r="K9" s="30" t="s">
        <v>182</v>
      </c>
      <c r="L9" s="64">
        <v>863.02800000000002</v>
      </c>
      <c r="M9" s="143">
        <v>67.694999999999993</v>
      </c>
      <c r="N9" s="64">
        <f t="shared" si="0"/>
        <v>795.33300000000008</v>
      </c>
      <c r="O9" s="54">
        <f t="shared" si="1"/>
        <v>7.8438938249975651E-2</v>
      </c>
    </row>
    <row r="10" spans="1:21">
      <c r="A10" s="30" t="s">
        <v>552</v>
      </c>
      <c r="B10" s="30" t="s">
        <v>345</v>
      </c>
      <c r="C10" s="73">
        <v>45352</v>
      </c>
      <c r="D10" s="30">
        <v>557</v>
      </c>
      <c r="E10" s="30" t="s">
        <v>346</v>
      </c>
      <c r="F10" s="30" t="s">
        <v>377</v>
      </c>
      <c r="G10" s="30" t="s">
        <v>201</v>
      </c>
      <c r="H10" s="30" t="s">
        <v>584</v>
      </c>
      <c r="I10" s="30">
        <v>697771</v>
      </c>
      <c r="J10" s="30"/>
      <c r="K10" s="30" t="s">
        <v>181</v>
      </c>
      <c r="L10" s="64">
        <v>241</v>
      </c>
      <c r="M10" s="143">
        <v>220.58799999999999</v>
      </c>
      <c r="N10" s="64">
        <f t="shared" si="0"/>
        <v>20.412000000000006</v>
      </c>
      <c r="O10" s="54">
        <f t="shared" si="1"/>
        <v>0.91530290456431529</v>
      </c>
    </row>
    <row r="11" spans="1:21">
      <c r="A11" s="30" t="s">
        <v>552</v>
      </c>
      <c r="B11" s="30" t="s">
        <v>345</v>
      </c>
      <c r="C11" s="73">
        <v>45352</v>
      </c>
      <c r="D11" s="30">
        <v>557</v>
      </c>
      <c r="E11" s="30" t="s">
        <v>346</v>
      </c>
      <c r="F11" s="30" t="s">
        <v>377</v>
      </c>
      <c r="G11" s="30" t="s">
        <v>201</v>
      </c>
      <c r="H11" s="30" t="s">
        <v>584</v>
      </c>
      <c r="I11" s="30">
        <v>697771</v>
      </c>
      <c r="J11" s="30"/>
      <c r="K11" s="30" t="s">
        <v>182</v>
      </c>
      <c r="L11" s="64">
        <v>333</v>
      </c>
      <c r="M11" s="143">
        <v>314.61200000000002</v>
      </c>
      <c r="N11" s="64">
        <f t="shared" si="0"/>
        <v>18.387999999999977</v>
      </c>
      <c r="O11" s="54">
        <f t="shared" si="1"/>
        <v>0.94478078078078087</v>
      </c>
    </row>
    <row r="12" spans="1:21">
      <c r="A12" s="30" t="s">
        <v>585</v>
      </c>
      <c r="B12" s="30" t="s">
        <v>345</v>
      </c>
      <c r="C12" s="73">
        <v>45352</v>
      </c>
      <c r="D12" s="30">
        <v>561</v>
      </c>
      <c r="E12" s="30" t="s">
        <v>346</v>
      </c>
      <c r="F12" s="30" t="s">
        <v>377</v>
      </c>
      <c r="G12" s="30" t="s">
        <v>202</v>
      </c>
      <c r="H12" s="30" t="s">
        <v>486</v>
      </c>
      <c r="I12" s="30">
        <v>964021</v>
      </c>
      <c r="J12" s="30"/>
      <c r="K12" s="30" t="s">
        <v>181</v>
      </c>
      <c r="L12" s="64">
        <v>50</v>
      </c>
      <c r="M12" s="143"/>
      <c r="N12" s="64">
        <f t="shared" si="0"/>
        <v>50</v>
      </c>
      <c r="O12" s="54">
        <f t="shared" si="1"/>
        <v>0</v>
      </c>
    </row>
    <row r="13" spans="1:21">
      <c r="A13" s="30" t="s">
        <v>585</v>
      </c>
      <c r="B13" s="30" t="s">
        <v>345</v>
      </c>
      <c r="C13" s="73">
        <v>45352</v>
      </c>
      <c r="D13" s="30">
        <v>561</v>
      </c>
      <c r="E13" s="30" t="s">
        <v>346</v>
      </c>
      <c r="F13" s="30" t="s">
        <v>377</v>
      </c>
      <c r="G13" s="30" t="s">
        <v>202</v>
      </c>
      <c r="H13" s="30" t="s">
        <v>486</v>
      </c>
      <c r="I13" s="30">
        <v>964021</v>
      </c>
      <c r="J13" s="30"/>
      <c r="K13" s="30" t="s">
        <v>182</v>
      </c>
      <c r="L13" s="64">
        <v>150</v>
      </c>
      <c r="M13" s="143">
        <v>10.035</v>
      </c>
      <c r="N13" s="64">
        <f t="shared" si="0"/>
        <v>139.965</v>
      </c>
      <c r="O13" s="54">
        <f t="shared" si="1"/>
        <v>6.6900000000000001E-2</v>
      </c>
    </row>
    <row r="14" spans="1:21">
      <c r="A14" s="30" t="s">
        <v>382</v>
      </c>
      <c r="B14" s="30" t="s">
        <v>345</v>
      </c>
      <c r="C14" s="73">
        <v>45352</v>
      </c>
      <c r="D14" s="30">
        <v>567</v>
      </c>
      <c r="E14" s="30" t="s">
        <v>346</v>
      </c>
      <c r="F14" s="30" t="s">
        <v>377</v>
      </c>
      <c r="G14" s="30" t="s">
        <v>202</v>
      </c>
      <c r="H14" s="30" t="s">
        <v>486</v>
      </c>
      <c r="I14" s="30">
        <v>964021</v>
      </c>
      <c r="J14" s="30"/>
      <c r="K14" s="30" t="s">
        <v>181</v>
      </c>
      <c r="L14" s="64">
        <v>90</v>
      </c>
      <c r="M14" s="143"/>
      <c r="N14" s="64">
        <f t="shared" si="0"/>
        <v>90</v>
      </c>
      <c r="O14" s="54">
        <f t="shared" si="1"/>
        <v>0</v>
      </c>
    </row>
    <row r="15" spans="1:21">
      <c r="A15" s="30" t="s">
        <v>382</v>
      </c>
      <c r="B15" s="30" t="s">
        <v>345</v>
      </c>
      <c r="C15" s="73">
        <v>45352</v>
      </c>
      <c r="D15" s="30">
        <v>567</v>
      </c>
      <c r="E15" s="30" t="s">
        <v>346</v>
      </c>
      <c r="F15" s="30" t="s">
        <v>377</v>
      </c>
      <c r="G15" s="30" t="s">
        <v>202</v>
      </c>
      <c r="H15" s="30" t="s">
        <v>486</v>
      </c>
      <c r="I15" s="30">
        <v>964021</v>
      </c>
      <c r="J15" s="30"/>
      <c r="K15" s="30" t="s">
        <v>182</v>
      </c>
      <c r="L15" s="64">
        <v>110</v>
      </c>
      <c r="M15" s="143"/>
      <c r="N15" s="64">
        <f t="shared" si="0"/>
        <v>110</v>
      </c>
      <c r="O15" s="54">
        <f t="shared" si="1"/>
        <v>0</v>
      </c>
    </row>
    <row r="16" spans="1:21">
      <c r="A16" s="30" t="s">
        <v>595</v>
      </c>
      <c r="B16" s="30" t="s">
        <v>345</v>
      </c>
      <c r="C16" s="73">
        <v>45384</v>
      </c>
      <c r="D16" s="30">
        <v>818</v>
      </c>
      <c r="E16" s="30" t="s">
        <v>346</v>
      </c>
      <c r="F16" s="30" t="s">
        <v>377</v>
      </c>
      <c r="G16" s="30" t="s">
        <v>201</v>
      </c>
      <c r="H16" s="30" t="s">
        <v>598</v>
      </c>
      <c r="I16" s="30">
        <v>964972</v>
      </c>
      <c r="J16" s="30"/>
      <c r="K16" s="30" t="s">
        <v>181</v>
      </c>
      <c r="L16" s="64">
        <v>250</v>
      </c>
      <c r="M16" s="143"/>
      <c r="N16" s="64">
        <f t="shared" si="0"/>
        <v>250</v>
      </c>
      <c r="O16" s="54">
        <f t="shared" si="1"/>
        <v>0</v>
      </c>
    </row>
    <row r="17" spans="1:15">
      <c r="A17" s="30" t="s">
        <v>595</v>
      </c>
      <c r="B17" s="30" t="s">
        <v>345</v>
      </c>
      <c r="C17" s="73">
        <v>45384</v>
      </c>
      <c r="D17" s="30">
        <v>818</v>
      </c>
      <c r="E17" s="30" t="s">
        <v>346</v>
      </c>
      <c r="F17" s="30" t="s">
        <v>377</v>
      </c>
      <c r="G17" s="30" t="s">
        <v>201</v>
      </c>
      <c r="H17" s="30" t="s">
        <v>598</v>
      </c>
      <c r="I17" s="30">
        <v>964972</v>
      </c>
      <c r="J17" s="30"/>
      <c r="K17" s="30" t="s">
        <v>182</v>
      </c>
      <c r="L17" s="64">
        <v>350</v>
      </c>
      <c r="M17" s="143"/>
      <c r="N17" s="64">
        <f t="shared" si="0"/>
        <v>350</v>
      </c>
      <c r="O17" s="54">
        <f t="shared" si="1"/>
        <v>0</v>
      </c>
    </row>
    <row r="18" spans="1:15">
      <c r="A18" s="30" t="s">
        <v>596</v>
      </c>
      <c r="B18" s="30" t="s">
        <v>345</v>
      </c>
      <c r="C18" s="73">
        <v>45384</v>
      </c>
      <c r="D18" s="30">
        <v>827</v>
      </c>
      <c r="E18" s="30" t="s">
        <v>346</v>
      </c>
      <c r="F18" s="30" t="s">
        <v>377</v>
      </c>
      <c r="G18" s="30" t="s">
        <v>201</v>
      </c>
      <c r="H18" s="30" t="s">
        <v>597</v>
      </c>
      <c r="I18" s="30">
        <v>964500</v>
      </c>
      <c r="J18" s="30"/>
      <c r="K18" s="30" t="s">
        <v>181</v>
      </c>
      <c r="L18" s="64">
        <v>170</v>
      </c>
      <c r="M18" s="143">
        <v>223.56700000000001</v>
      </c>
      <c r="N18" s="64">
        <f t="shared" si="0"/>
        <v>-53.567000000000007</v>
      </c>
      <c r="O18" s="54">
        <f t="shared" si="1"/>
        <v>1.3150999999999999</v>
      </c>
    </row>
    <row r="19" spans="1:15">
      <c r="A19" s="30" t="s">
        <v>596</v>
      </c>
      <c r="B19" s="30" t="s">
        <v>345</v>
      </c>
      <c r="C19" s="73">
        <v>45384</v>
      </c>
      <c r="D19" s="30">
        <v>827</v>
      </c>
      <c r="E19" s="30" t="s">
        <v>346</v>
      </c>
      <c r="F19" s="30" t="s">
        <v>377</v>
      </c>
      <c r="G19" s="30" t="s">
        <v>201</v>
      </c>
      <c r="H19" s="30" t="s">
        <v>597</v>
      </c>
      <c r="I19" s="30">
        <v>964500</v>
      </c>
      <c r="J19" s="30"/>
      <c r="K19" s="30" t="s">
        <v>182</v>
      </c>
      <c r="L19" s="64">
        <v>330</v>
      </c>
      <c r="M19" s="143">
        <v>276.43299999999999</v>
      </c>
      <c r="N19" s="64">
        <f t="shared" si="0"/>
        <v>53.567000000000007</v>
      </c>
      <c r="O19" s="54">
        <f t="shared" si="1"/>
        <v>0.83767575757575752</v>
      </c>
    </row>
    <row r="20" spans="1:15">
      <c r="A20" s="30" t="s">
        <v>599</v>
      </c>
      <c r="B20" s="30" t="s">
        <v>345</v>
      </c>
      <c r="C20" s="73">
        <v>45385</v>
      </c>
      <c r="D20" s="30">
        <v>841</v>
      </c>
      <c r="E20" s="30" t="s">
        <v>346</v>
      </c>
      <c r="F20" s="30" t="s">
        <v>377</v>
      </c>
      <c r="G20" s="30" t="s">
        <v>201</v>
      </c>
      <c r="H20" s="30" t="s">
        <v>598</v>
      </c>
      <c r="I20" s="30">
        <v>964972</v>
      </c>
      <c r="J20" s="30"/>
      <c r="K20" s="30" t="s">
        <v>181</v>
      </c>
      <c r="L20" s="64">
        <v>290</v>
      </c>
      <c r="M20" s="143">
        <v>117.94499999999999</v>
      </c>
      <c r="N20" s="64">
        <f t="shared" si="0"/>
        <v>172.05500000000001</v>
      </c>
      <c r="O20" s="54">
        <f t="shared" si="1"/>
        <v>0.4067068965517241</v>
      </c>
    </row>
    <row r="21" spans="1:15">
      <c r="A21" s="30" t="s">
        <v>599</v>
      </c>
      <c r="B21" s="30" t="s">
        <v>345</v>
      </c>
      <c r="C21" s="73">
        <v>45385</v>
      </c>
      <c r="D21" s="30">
        <v>841</v>
      </c>
      <c r="E21" s="30" t="s">
        <v>346</v>
      </c>
      <c r="F21" s="30" t="s">
        <v>377</v>
      </c>
      <c r="G21" s="30" t="s">
        <v>201</v>
      </c>
      <c r="H21" s="30" t="s">
        <v>598</v>
      </c>
      <c r="I21" s="30">
        <v>964972</v>
      </c>
      <c r="J21" s="30"/>
      <c r="K21" s="30" t="s">
        <v>182</v>
      </c>
      <c r="L21" s="64">
        <v>400</v>
      </c>
      <c r="M21" s="143">
        <v>66.522000000000006</v>
      </c>
      <c r="N21" s="64">
        <f t="shared" si="0"/>
        <v>333.47800000000001</v>
      </c>
      <c r="O21" s="54">
        <f t="shared" si="1"/>
        <v>0.16630500000000001</v>
      </c>
    </row>
    <row r="22" spans="1:15">
      <c r="A22" s="30" t="s">
        <v>419</v>
      </c>
      <c r="B22" s="30" t="s">
        <v>345</v>
      </c>
      <c r="C22" s="73">
        <v>45387</v>
      </c>
      <c r="D22" s="30">
        <v>862</v>
      </c>
      <c r="E22" s="30" t="s">
        <v>346</v>
      </c>
      <c r="F22" s="30" t="s">
        <v>344</v>
      </c>
      <c r="G22" s="30" t="s">
        <v>201</v>
      </c>
      <c r="H22" s="30" t="s">
        <v>600</v>
      </c>
      <c r="I22" s="30">
        <v>966254</v>
      </c>
      <c r="J22" s="30"/>
      <c r="K22" s="30" t="s">
        <v>181</v>
      </c>
      <c r="L22" s="64">
        <v>105</v>
      </c>
      <c r="M22" s="143">
        <v>9.91</v>
      </c>
      <c r="N22" s="64">
        <f t="shared" si="0"/>
        <v>95.09</v>
      </c>
      <c r="O22" s="54">
        <f t="shared" si="1"/>
        <v>9.4380952380952385E-2</v>
      </c>
    </row>
    <row r="23" spans="1:15">
      <c r="A23" s="30" t="s">
        <v>419</v>
      </c>
      <c r="B23" s="30" t="s">
        <v>345</v>
      </c>
      <c r="C23" s="73">
        <v>45387</v>
      </c>
      <c r="D23" s="30">
        <v>862</v>
      </c>
      <c r="E23" s="30" t="s">
        <v>346</v>
      </c>
      <c r="F23" s="30" t="s">
        <v>344</v>
      </c>
      <c r="G23" s="30" t="s">
        <v>201</v>
      </c>
      <c r="H23" s="30" t="s">
        <v>600</v>
      </c>
      <c r="I23" s="30">
        <v>966254</v>
      </c>
      <c r="J23" s="30"/>
      <c r="K23" s="30" t="s">
        <v>182</v>
      </c>
      <c r="L23" s="64">
        <v>195</v>
      </c>
      <c r="M23" s="143">
        <v>42.25</v>
      </c>
      <c r="N23" s="64">
        <f t="shared" si="0"/>
        <v>152.75</v>
      </c>
      <c r="O23" s="54">
        <f t="shared" si="1"/>
        <v>0.21666666666666667</v>
      </c>
    </row>
    <row r="24" spans="1:15">
      <c r="A24" s="30" t="s">
        <v>419</v>
      </c>
      <c r="B24" s="30" t="s">
        <v>345</v>
      </c>
      <c r="C24" s="73">
        <v>45387</v>
      </c>
      <c r="D24" s="30">
        <v>862</v>
      </c>
      <c r="E24" s="30" t="s">
        <v>346</v>
      </c>
      <c r="F24" s="30" t="s">
        <v>344</v>
      </c>
      <c r="G24" s="30" t="s">
        <v>201</v>
      </c>
      <c r="H24" s="30" t="s">
        <v>601</v>
      </c>
      <c r="I24" s="30">
        <v>965526</v>
      </c>
      <c r="J24" s="30"/>
      <c r="K24" s="30" t="s">
        <v>181</v>
      </c>
      <c r="L24" s="64">
        <v>105</v>
      </c>
      <c r="M24" s="143">
        <v>111.926</v>
      </c>
      <c r="N24" s="64">
        <f t="shared" si="0"/>
        <v>-6.9260000000000019</v>
      </c>
      <c r="O24" s="54">
        <f t="shared" si="1"/>
        <v>1.0659619047619049</v>
      </c>
    </row>
    <row r="25" spans="1:15">
      <c r="A25" s="30" t="s">
        <v>419</v>
      </c>
      <c r="B25" s="30" t="s">
        <v>345</v>
      </c>
      <c r="C25" s="73">
        <v>45387</v>
      </c>
      <c r="D25" s="30">
        <v>862</v>
      </c>
      <c r="E25" s="30" t="s">
        <v>346</v>
      </c>
      <c r="F25" s="30" t="s">
        <v>344</v>
      </c>
      <c r="G25" s="30" t="s">
        <v>201</v>
      </c>
      <c r="H25" s="30" t="s">
        <v>601</v>
      </c>
      <c r="I25" s="30">
        <v>965526</v>
      </c>
      <c r="J25" s="30"/>
      <c r="K25" s="30" t="s">
        <v>182</v>
      </c>
      <c r="L25" s="64">
        <v>195</v>
      </c>
      <c r="M25" s="143">
        <v>137.28700000000001</v>
      </c>
      <c r="N25" s="64">
        <f t="shared" si="0"/>
        <v>57.712999999999994</v>
      </c>
      <c r="O25" s="54">
        <f t="shared" si="1"/>
        <v>0.70403589743589745</v>
      </c>
    </row>
    <row r="26" spans="1:15">
      <c r="A26" s="30" t="s">
        <v>415</v>
      </c>
      <c r="B26" s="30" t="s">
        <v>345</v>
      </c>
      <c r="C26" s="73">
        <v>45391</v>
      </c>
      <c r="D26" s="30">
        <v>893</v>
      </c>
      <c r="E26" s="30" t="s">
        <v>346</v>
      </c>
      <c r="F26" s="30" t="s">
        <v>377</v>
      </c>
      <c r="G26" s="30" t="s">
        <v>202</v>
      </c>
      <c r="H26" s="30" t="s">
        <v>602</v>
      </c>
      <c r="I26" s="30">
        <v>951113</v>
      </c>
      <c r="J26" s="30"/>
      <c r="K26" s="30" t="s">
        <v>181</v>
      </c>
      <c r="L26" s="64">
        <v>221</v>
      </c>
      <c r="M26" s="65">
        <v>48.26</v>
      </c>
      <c r="N26" s="64">
        <f t="shared" si="0"/>
        <v>172.74</v>
      </c>
      <c r="O26" s="54">
        <f t="shared" si="1"/>
        <v>0.21837104072398189</v>
      </c>
    </row>
    <row r="27" spans="1:15">
      <c r="A27" s="30" t="s">
        <v>415</v>
      </c>
      <c r="B27" s="30" t="s">
        <v>345</v>
      </c>
      <c r="C27" s="73">
        <v>45391</v>
      </c>
      <c r="D27" s="30">
        <v>893</v>
      </c>
      <c r="E27" s="30" t="s">
        <v>346</v>
      </c>
      <c r="F27" s="30" t="s">
        <v>377</v>
      </c>
      <c r="G27" s="30" t="s">
        <v>202</v>
      </c>
      <c r="H27" s="30" t="s">
        <v>602</v>
      </c>
      <c r="I27" s="30">
        <v>951113</v>
      </c>
      <c r="J27" s="30"/>
      <c r="K27" s="30" t="s">
        <v>182</v>
      </c>
      <c r="L27" s="64">
        <v>290</v>
      </c>
      <c r="M27" s="65">
        <v>218.941</v>
      </c>
      <c r="N27" s="64">
        <f t="shared" si="0"/>
        <v>71.058999999999997</v>
      </c>
      <c r="O27" s="54">
        <f t="shared" si="1"/>
        <v>0.75496896551724135</v>
      </c>
    </row>
    <row r="28" spans="1:15">
      <c r="A28" s="30" t="s">
        <v>415</v>
      </c>
      <c r="B28" s="30" t="s">
        <v>345</v>
      </c>
      <c r="C28" s="73">
        <v>45391</v>
      </c>
      <c r="D28" s="30">
        <v>893</v>
      </c>
      <c r="E28" s="30" t="s">
        <v>346</v>
      </c>
      <c r="F28" s="30" t="s">
        <v>377</v>
      </c>
      <c r="G28" s="30" t="s">
        <v>202</v>
      </c>
      <c r="H28" s="30" t="s">
        <v>603</v>
      </c>
      <c r="I28" s="30">
        <v>966686</v>
      </c>
      <c r="J28" s="30"/>
      <c r="K28" s="30" t="s">
        <v>181</v>
      </c>
      <c r="L28" s="64">
        <v>251</v>
      </c>
      <c r="M28" s="65">
        <v>30.507000000000001</v>
      </c>
      <c r="N28" s="64">
        <f t="shared" si="0"/>
        <v>220.49299999999999</v>
      </c>
      <c r="O28" s="54">
        <f t="shared" si="1"/>
        <v>0.12154183266932271</v>
      </c>
    </row>
    <row r="29" spans="1:15">
      <c r="A29" s="30" t="s">
        <v>415</v>
      </c>
      <c r="B29" s="30" t="s">
        <v>345</v>
      </c>
      <c r="C29" s="73">
        <v>45391</v>
      </c>
      <c r="D29" s="30">
        <v>893</v>
      </c>
      <c r="E29" s="30" t="s">
        <v>346</v>
      </c>
      <c r="F29" s="30" t="s">
        <v>377</v>
      </c>
      <c r="G29" s="30" t="s">
        <v>202</v>
      </c>
      <c r="H29" s="30" t="s">
        <v>603</v>
      </c>
      <c r="I29" s="30">
        <v>966686</v>
      </c>
      <c r="J29" s="30"/>
      <c r="K29" s="30" t="s">
        <v>182</v>
      </c>
      <c r="L29" s="64">
        <v>290</v>
      </c>
      <c r="M29" s="65">
        <v>228.33799999999999</v>
      </c>
      <c r="N29" s="64">
        <f t="shared" si="0"/>
        <v>61.662000000000006</v>
      </c>
      <c r="O29" s="54">
        <f t="shared" si="1"/>
        <v>0.78737241379310341</v>
      </c>
    </row>
    <row r="30" spans="1:15">
      <c r="A30" s="30" t="s">
        <v>415</v>
      </c>
      <c r="B30" s="30" t="s">
        <v>345</v>
      </c>
      <c r="C30" s="73">
        <v>45400</v>
      </c>
      <c r="D30" s="30">
        <v>979</v>
      </c>
      <c r="E30" s="30" t="s">
        <v>346</v>
      </c>
      <c r="F30" s="30" t="s">
        <v>377</v>
      </c>
      <c r="G30" s="30" t="s">
        <v>202</v>
      </c>
      <c r="H30" s="30" t="s">
        <v>607</v>
      </c>
      <c r="I30" s="30">
        <v>701137</v>
      </c>
      <c r="J30" s="30"/>
      <c r="K30" s="30" t="s">
        <v>181</v>
      </c>
      <c r="L30" s="64">
        <v>127</v>
      </c>
      <c r="M30" s="65">
        <v>23.28</v>
      </c>
      <c r="N30" s="64">
        <f t="shared" si="0"/>
        <v>103.72</v>
      </c>
      <c r="O30" s="54">
        <f t="shared" si="1"/>
        <v>0.18330708661417325</v>
      </c>
    </row>
    <row r="31" spans="1:15">
      <c r="A31" s="30" t="s">
        <v>415</v>
      </c>
      <c r="B31" s="30" t="s">
        <v>345</v>
      </c>
      <c r="C31" s="73">
        <v>45400</v>
      </c>
      <c r="D31" s="30">
        <v>979</v>
      </c>
      <c r="E31" s="30" t="s">
        <v>346</v>
      </c>
      <c r="F31" s="30" t="s">
        <v>377</v>
      </c>
      <c r="G31" s="30" t="s">
        <v>202</v>
      </c>
      <c r="H31" s="30" t="s">
        <v>607</v>
      </c>
      <c r="I31" s="30">
        <v>701137</v>
      </c>
      <c r="J31" s="30"/>
      <c r="K31" s="30" t="s">
        <v>182</v>
      </c>
      <c r="L31" s="64">
        <v>175</v>
      </c>
      <c r="M31" s="65">
        <v>211.95400000000001</v>
      </c>
      <c r="N31" s="64">
        <f t="shared" si="0"/>
        <v>-36.954000000000008</v>
      </c>
      <c r="O31" s="54">
        <f t="shared" si="1"/>
        <v>1.2111657142857144</v>
      </c>
    </row>
    <row r="32" spans="1:15">
      <c r="A32" s="30" t="s">
        <v>415</v>
      </c>
      <c r="B32" s="30" t="s">
        <v>345</v>
      </c>
      <c r="C32" s="73">
        <v>45400</v>
      </c>
      <c r="D32" s="30">
        <v>980</v>
      </c>
      <c r="E32" s="30" t="s">
        <v>346</v>
      </c>
      <c r="F32" s="30" t="s">
        <v>377</v>
      </c>
      <c r="G32" s="30" t="s">
        <v>202</v>
      </c>
      <c r="H32" s="30" t="s">
        <v>610</v>
      </c>
      <c r="I32" s="30">
        <v>902835</v>
      </c>
      <c r="J32" s="30"/>
      <c r="K32" s="30" t="s">
        <v>181</v>
      </c>
      <c r="L32" s="64">
        <v>400</v>
      </c>
      <c r="M32" s="65"/>
      <c r="N32" s="64">
        <f t="shared" si="0"/>
        <v>400</v>
      </c>
      <c r="O32" s="54">
        <f t="shared" si="1"/>
        <v>0</v>
      </c>
    </row>
    <row r="33" spans="1:15">
      <c r="A33" s="30" t="s">
        <v>415</v>
      </c>
      <c r="B33" s="30" t="s">
        <v>345</v>
      </c>
      <c r="C33" s="73">
        <v>45400</v>
      </c>
      <c r="D33" s="30">
        <v>980</v>
      </c>
      <c r="E33" s="30" t="s">
        <v>346</v>
      </c>
      <c r="F33" s="30" t="s">
        <v>377</v>
      </c>
      <c r="G33" s="30" t="s">
        <v>202</v>
      </c>
      <c r="H33" s="30" t="s">
        <v>610</v>
      </c>
      <c r="I33" s="30">
        <v>902835</v>
      </c>
      <c r="J33" s="30"/>
      <c r="K33" s="30" t="s">
        <v>182</v>
      </c>
      <c r="L33" s="64">
        <v>500</v>
      </c>
      <c r="M33" s="65"/>
      <c r="N33" s="64">
        <f t="shared" si="0"/>
        <v>500</v>
      </c>
      <c r="O33" s="54">
        <f t="shared" si="1"/>
        <v>0</v>
      </c>
    </row>
    <row r="34" spans="1:15">
      <c r="A34" s="30" t="s">
        <v>608</v>
      </c>
      <c r="B34" s="30" t="s">
        <v>345</v>
      </c>
      <c r="C34" s="73">
        <v>45400</v>
      </c>
      <c r="D34" s="30">
        <v>982</v>
      </c>
      <c r="E34" s="30" t="s">
        <v>346</v>
      </c>
      <c r="F34" s="30" t="s">
        <v>377</v>
      </c>
      <c r="G34" s="30" t="s">
        <v>201</v>
      </c>
      <c r="H34" s="30" t="s">
        <v>609</v>
      </c>
      <c r="I34" s="30">
        <v>957377</v>
      </c>
      <c r="J34" s="30"/>
      <c r="K34" s="30" t="s">
        <v>181</v>
      </c>
      <c r="L34" s="64">
        <v>50</v>
      </c>
      <c r="M34" s="65"/>
      <c r="N34" s="64">
        <f t="shared" si="0"/>
        <v>50</v>
      </c>
      <c r="O34" s="54">
        <f t="shared" si="1"/>
        <v>0</v>
      </c>
    </row>
    <row r="35" spans="1:15">
      <c r="A35" s="30" t="s">
        <v>608</v>
      </c>
      <c r="B35" s="30" t="s">
        <v>345</v>
      </c>
      <c r="C35" s="73">
        <v>45400</v>
      </c>
      <c r="D35" s="30">
        <v>982</v>
      </c>
      <c r="E35" s="30" t="s">
        <v>346</v>
      </c>
      <c r="F35" s="30" t="s">
        <v>377</v>
      </c>
      <c r="G35" s="30" t="s">
        <v>201</v>
      </c>
      <c r="H35" s="30" t="s">
        <v>609</v>
      </c>
      <c r="I35" s="30">
        <v>957377</v>
      </c>
      <c r="J35" s="30"/>
      <c r="K35" s="30" t="s">
        <v>182</v>
      </c>
      <c r="L35" s="64">
        <v>450</v>
      </c>
      <c r="M35" s="65"/>
      <c r="N35" s="64">
        <f t="shared" si="0"/>
        <v>450</v>
      </c>
      <c r="O35" s="54">
        <f t="shared" si="1"/>
        <v>0</v>
      </c>
    </row>
    <row r="36" spans="1:15">
      <c r="A36" s="30" t="s">
        <v>615</v>
      </c>
      <c r="B36" s="30" t="s">
        <v>345</v>
      </c>
      <c r="C36" s="73">
        <v>45401</v>
      </c>
      <c r="D36" s="30">
        <v>990</v>
      </c>
      <c r="E36" s="30" t="s">
        <v>661</v>
      </c>
      <c r="F36" s="30" t="s">
        <v>377</v>
      </c>
      <c r="G36" s="30" t="s">
        <v>201</v>
      </c>
      <c r="H36" s="30" t="s">
        <v>616</v>
      </c>
      <c r="I36" s="30">
        <v>701151</v>
      </c>
      <c r="J36" s="30"/>
      <c r="K36" s="30" t="s">
        <v>181</v>
      </c>
      <c r="L36" s="64">
        <v>50</v>
      </c>
      <c r="M36" s="65">
        <v>34.164000000000001</v>
      </c>
      <c r="N36" s="64">
        <f t="shared" si="0"/>
        <v>15.835999999999999</v>
      </c>
      <c r="O36" s="54">
        <f t="shared" si="1"/>
        <v>0.68328</v>
      </c>
    </row>
    <row r="37" spans="1:15">
      <c r="A37" s="30" t="s">
        <v>615</v>
      </c>
      <c r="B37" s="30" t="s">
        <v>345</v>
      </c>
      <c r="C37" s="73">
        <v>45401</v>
      </c>
      <c r="D37" s="30">
        <v>990</v>
      </c>
      <c r="E37" s="30" t="s">
        <v>661</v>
      </c>
      <c r="F37" s="30" t="s">
        <v>377</v>
      </c>
      <c r="G37" s="30" t="s">
        <v>201</v>
      </c>
      <c r="H37" s="30" t="s">
        <v>616</v>
      </c>
      <c r="I37" s="30">
        <v>701151</v>
      </c>
      <c r="J37" s="30"/>
      <c r="K37" s="30" t="s">
        <v>182</v>
      </c>
      <c r="L37" s="64">
        <v>150</v>
      </c>
      <c r="M37" s="65">
        <v>37.011000000000003</v>
      </c>
      <c r="N37" s="64">
        <f t="shared" si="0"/>
        <v>112.989</v>
      </c>
      <c r="O37" s="54">
        <f t="shared" si="1"/>
        <v>0.24674000000000001</v>
      </c>
    </row>
    <row r="38" spans="1:15">
      <c r="A38" s="30" t="s">
        <v>515</v>
      </c>
      <c r="B38" s="30" t="s">
        <v>345</v>
      </c>
      <c r="C38" s="73">
        <v>45400</v>
      </c>
      <c r="D38" s="30">
        <v>969</v>
      </c>
      <c r="E38" s="30" t="s">
        <v>346</v>
      </c>
      <c r="F38" s="30" t="s">
        <v>344</v>
      </c>
      <c r="G38" s="30" t="s">
        <v>201</v>
      </c>
      <c r="H38" s="30" t="s">
        <v>618</v>
      </c>
      <c r="I38" s="30">
        <v>961132</v>
      </c>
      <c r="J38" s="30"/>
      <c r="K38" s="30" t="s">
        <v>181</v>
      </c>
      <c r="L38" s="30">
        <v>674.178</v>
      </c>
      <c r="M38" s="143">
        <v>193.58</v>
      </c>
      <c r="N38" s="30">
        <f t="shared" si="0"/>
        <v>480.59799999999996</v>
      </c>
      <c r="O38" s="54">
        <f t="shared" si="1"/>
        <v>0.28713485162672175</v>
      </c>
    </row>
    <row r="39" spans="1:15">
      <c r="A39" s="30" t="s">
        <v>626</v>
      </c>
      <c r="B39" s="30" t="s">
        <v>345</v>
      </c>
      <c r="C39" s="73">
        <v>45400</v>
      </c>
      <c r="D39" s="30">
        <v>974</v>
      </c>
      <c r="E39" s="30" t="s">
        <v>346</v>
      </c>
      <c r="F39" s="30" t="s">
        <v>344</v>
      </c>
      <c r="G39" s="30" t="s">
        <v>201</v>
      </c>
      <c r="H39" s="30" t="s">
        <v>620</v>
      </c>
      <c r="I39" s="30">
        <v>916067</v>
      </c>
      <c r="J39" s="30"/>
      <c r="K39" s="30" t="s">
        <v>182</v>
      </c>
      <c r="L39" s="30">
        <v>863.02800000000002</v>
      </c>
      <c r="M39" s="143">
        <v>19.875</v>
      </c>
      <c r="N39" s="30">
        <f t="shared" si="0"/>
        <v>843.15300000000002</v>
      </c>
      <c r="O39" s="54">
        <f t="shared" si="1"/>
        <v>2.3029380275031631E-2</v>
      </c>
    </row>
    <row r="40" spans="1:15">
      <c r="A40" s="30" t="s">
        <v>623</v>
      </c>
      <c r="B40" s="30" t="s">
        <v>345</v>
      </c>
      <c r="C40" s="73">
        <v>45400</v>
      </c>
      <c r="D40" s="30">
        <v>976</v>
      </c>
      <c r="E40" s="30" t="s">
        <v>346</v>
      </c>
      <c r="F40" s="30" t="s">
        <v>344</v>
      </c>
      <c r="G40" s="30" t="s">
        <v>201</v>
      </c>
      <c r="H40" s="30" t="s">
        <v>624</v>
      </c>
      <c r="I40" s="30">
        <v>925404</v>
      </c>
      <c r="J40" s="30"/>
      <c r="K40" s="30" t="s">
        <v>182</v>
      </c>
      <c r="L40" s="30">
        <v>287.67599999999999</v>
      </c>
      <c r="M40" s="143"/>
      <c r="N40" s="30">
        <f t="shared" si="0"/>
        <v>287.67599999999999</v>
      </c>
      <c r="O40" s="54">
        <f t="shared" si="1"/>
        <v>0</v>
      </c>
    </row>
    <row r="41" spans="1:15">
      <c r="A41" s="30" t="s">
        <v>625</v>
      </c>
      <c r="B41" s="30" t="s">
        <v>345</v>
      </c>
      <c r="C41" s="73">
        <v>45400</v>
      </c>
      <c r="D41" s="30">
        <v>977</v>
      </c>
      <c r="E41" s="30" t="s">
        <v>346</v>
      </c>
      <c r="F41" s="30" t="s">
        <v>344</v>
      </c>
      <c r="G41" s="30" t="s">
        <v>201</v>
      </c>
      <c r="H41" s="30" t="s">
        <v>618</v>
      </c>
      <c r="I41" s="30">
        <v>961132</v>
      </c>
      <c r="J41" s="30"/>
      <c r="K41" s="30" t="s">
        <v>182</v>
      </c>
      <c r="L41" s="30">
        <v>143.83799999999999</v>
      </c>
      <c r="M41" s="143"/>
      <c r="N41" s="30">
        <f t="shared" si="0"/>
        <v>143.83799999999999</v>
      </c>
      <c r="O41" s="54">
        <f t="shared" si="1"/>
        <v>0</v>
      </c>
    </row>
    <row r="42" spans="1:15">
      <c r="A42" s="30" t="s">
        <v>630</v>
      </c>
      <c r="B42" s="30" t="s">
        <v>345</v>
      </c>
      <c r="C42" s="73">
        <v>45400</v>
      </c>
      <c r="D42" s="30">
        <v>983</v>
      </c>
      <c r="E42" s="30" t="s">
        <v>346</v>
      </c>
      <c r="F42" s="30" t="s">
        <v>344</v>
      </c>
      <c r="G42" s="30" t="s">
        <v>201</v>
      </c>
      <c r="H42" s="30" t="s">
        <v>598</v>
      </c>
      <c r="I42" s="30">
        <v>964972</v>
      </c>
      <c r="J42" s="30"/>
      <c r="K42" s="30" t="s">
        <v>182</v>
      </c>
      <c r="L42" s="30">
        <v>143.83799999999999</v>
      </c>
      <c r="M42" s="143"/>
      <c r="N42" s="30">
        <f t="shared" ref="N42:N44" si="2">L42-M42</f>
        <v>143.83799999999999</v>
      </c>
      <c r="O42" s="54">
        <f t="shared" ref="O42:O44" si="3">M42/L42</f>
        <v>0</v>
      </c>
    </row>
    <row r="43" spans="1:15">
      <c r="A43" s="30" t="s">
        <v>631</v>
      </c>
      <c r="B43" s="30" t="s">
        <v>345</v>
      </c>
      <c r="C43" s="73">
        <v>45405</v>
      </c>
      <c r="D43" s="30">
        <v>1036</v>
      </c>
      <c r="E43" s="30" t="s">
        <v>346</v>
      </c>
      <c r="F43" s="30" t="s">
        <v>377</v>
      </c>
      <c r="G43" s="30" t="s">
        <v>201</v>
      </c>
      <c r="H43" s="30" t="s">
        <v>632</v>
      </c>
      <c r="I43" s="30">
        <v>956970</v>
      </c>
      <c r="J43" s="30"/>
      <c r="K43" s="30" t="s">
        <v>181</v>
      </c>
      <c r="L43" s="64">
        <v>120</v>
      </c>
      <c r="M43" s="65">
        <v>6.9660000000000002</v>
      </c>
      <c r="N43" s="64">
        <f t="shared" si="2"/>
        <v>113.03400000000001</v>
      </c>
      <c r="O43" s="54">
        <f t="shared" si="3"/>
        <v>5.8050000000000004E-2</v>
      </c>
    </row>
    <row r="44" spans="1:15">
      <c r="A44" s="30" t="s">
        <v>631</v>
      </c>
      <c r="B44" s="30" t="s">
        <v>345</v>
      </c>
      <c r="C44" s="73">
        <v>45405</v>
      </c>
      <c r="D44" s="30">
        <v>1036</v>
      </c>
      <c r="E44" s="30" t="s">
        <v>346</v>
      </c>
      <c r="F44" s="30" t="s">
        <v>377</v>
      </c>
      <c r="G44" s="30" t="s">
        <v>201</v>
      </c>
      <c r="H44" s="30" t="s">
        <v>632</v>
      </c>
      <c r="I44" s="30">
        <v>956970</v>
      </c>
      <c r="J44" s="30"/>
      <c r="K44" s="30" t="s">
        <v>182</v>
      </c>
      <c r="L44" s="64">
        <v>180</v>
      </c>
      <c r="M44" s="65">
        <v>58.789000000000001</v>
      </c>
      <c r="N44" s="64">
        <f t="shared" si="2"/>
        <v>121.211</v>
      </c>
      <c r="O44" s="54">
        <f t="shared" si="3"/>
        <v>0.32660555555555554</v>
      </c>
    </row>
    <row r="45" spans="1:15">
      <c r="A45" s="30" t="s">
        <v>631</v>
      </c>
      <c r="B45" s="30" t="s">
        <v>345</v>
      </c>
      <c r="C45" s="73">
        <v>45405</v>
      </c>
      <c r="D45" s="30">
        <v>1037</v>
      </c>
      <c r="E45" s="30" t="s">
        <v>346</v>
      </c>
      <c r="F45" s="30" t="s">
        <v>377</v>
      </c>
      <c r="G45" s="30" t="s">
        <v>201</v>
      </c>
      <c r="H45" s="30" t="s">
        <v>584</v>
      </c>
      <c r="I45" s="30">
        <v>697771</v>
      </c>
      <c r="J45" s="30"/>
      <c r="K45" s="30" t="s">
        <v>181</v>
      </c>
      <c r="L45" s="64">
        <v>120</v>
      </c>
      <c r="M45" s="143">
        <v>14.082000000000001</v>
      </c>
      <c r="N45" s="64">
        <f t="shared" ref="N45:N46" si="4">L45-M45</f>
        <v>105.91800000000001</v>
      </c>
      <c r="O45" s="54">
        <f t="shared" ref="O45:O46" si="5">M45/L45</f>
        <v>0.11735000000000001</v>
      </c>
    </row>
    <row r="46" spans="1:15">
      <c r="A46" s="30" t="s">
        <v>631</v>
      </c>
      <c r="B46" s="30" t="s">
        <v>345</v>
      </c>
      <c r="C46" s="73">
        <v>45405</v>
      </c>
      <c r="D46" s="30">
        <v>1037</v>
      </c>
      <c r="E46" s="30" t="s">
        <v>346</v>
      </c>
      <c r="F46" s="30" t="s">
        <v>377</v>
      </c>
      <c r="G46" s="30" t="s">
        <v>201</v>
      </c>
      <c r="H46" s="30" t="s">
        <v>584</v>
      </c>
      <c r="I46" s="30">
        <v>697771</v>
      </c>
      <c r="J46" s="30"/>
      <c r="K46" s="30" t="s">
        <v>182</v>
      </c>
      <c r="L46" s="64">
        <v>180</v>
      </c>
      <c r="M46" s="143">
        <v>32.883000000000003</v>
      </c>
      <c r="N46" s="64">
        <f t="shared" si="4"/>
        <v>147.11699999999999</v>
      </c>
      <c r="O46" s="54">
        <f t="shared" si="5"/>
        <v>0.18268333333333334</v>
      </c>
    </row>
    <row r="47" spans="1:15">
      <c r="A47" s="30" t="s">
        <v>451</v>
      </c>
      <c r="B47" s="30" t="s">
        <v>345</v>
      </c>
      <c r="C47" s="73">
        <v>45405</v>
      </c>
      <c r="D47" s="30">
        <v>1032</v>
      </c>
      <c r="E47" s="30" t="s">
        <v>346</v>
      </c>
      <c r="F47" s="30" t="s">
        <v>344</v>
      </c>
      <c r="G47" s="30" t="s">
        <v>201</v>
      </c>
      <c r="H47" s="30" t="s">
        <v>516</v>
      </c>
      <c r="I47" s="30">
        <v>951206</v>
      </c>
      <c r="J47" s="30"/>
      <c r="K47" s="30" t="s">
        <v>181</v>
      </c>
      <c r="L47" s="64">
        <v>160</v>
      </c>
      <c r="M47" s="143"/>
      <c r="N47" s="64">
        <f t="shared" ref="N47:N50" si="6">L47-M47</f>
        <v>160</v>
      </c>
      <c r="O47" s="54">
        <f t="shared" ref="O47:O50" si="7">M47/L47</f>
        <v>0</v>
      </c>
    </row>
    <row r="48" spans="1:15">
      <c r="A48" s="30" t="s">
        <v>451</v>
      </c>
      <c r="B48" s="30" t="s">
        <v>345</v>
      </c>
      <c r="C48" s="73">
        <v>45405</v>
      </c>
      <c r="D48" s="30">
        <v>1032</v>
      </c>
      <c r="E48" s="30" t="s">
        <v>346</v>
      </c>
      <c r="F48" s="30" t="s">
        <v>344</v>
      </c>
      <c r="G48" s="30" t="s">
        <v>201</v>
      </c>
      <c r="H48" s="30" t="s">
        <v>516</v>
      </c>
      <c r="I48" s="30">
        <v>951206</v>
      </c>
      <c r="J48" s="30"/>
      <c r="K48" s="30" t="s">
        <v>182</v>
      </c>
      <c r="L48" s="64">
        <v>400</v>
      </c>
      <c r="M48" s="143"/>
      <c r="N48" s="64">
        <f t="shared" si="6"/>
        <v>400</v>
      </c>
      <c r="O48" s="54">
        <f t="shared" si="7"/>
        <v>0</v>
      </c>
    </row>
    <row r="49" spans="1:15">
      <c r="A49" s="30" t="s">
        <v>451</v>
      </c>
      <c r="B49" s="30" t="s">
        <v>345</v>
      </c>
      <c r="C49" s="73">
        <v>45405</v>
      </c>
      <c r="D49" s="30">
        <v>1032</v>
      </c>
      <c r="E49" s="30" t="s">
        <v>346</v>
      </c>
      <c r="F49" s="30" t="s">
        <v>344</v>
      </c>
      <c r="G49" s="30" t="s">
        <v>201</v>
      </c>
      <c r="H49" s="30" t="s">
        <v>618</v>
      </c>
      <c r="I49" s="30">
        <v>961132</v>
      </c>
      <c r="J49" s="30"/>
      <c r="K49" s="30" t="s">
        <v>181</v>
      </c>
      <c r="L49" s="64">
        <v>160</v>
      </c>
      <c r="M49" s="143">
        <v>13.164999999999999</v>
      </c>
      <c r="N49" s="64">
        <f t="shared" si="6"/>
        <v>146.83500000000001</v>
      </c>
      <c r="O49" s="54">
        <f t="shared" si="7"/>
        <v>8.228125E-2</v>
      </c>
    </row>
    <row r="50" spans="1:15">
      <c r="A50" s="30" t="s">
        <v>451</v>
      </c>
      <c r="B50" s="30" t="s">
        <v>345</v>
      </c>
      <c r="C50" s="73">
        <v>45405</v>
      </c>
      <c r="D50" s="30">
        <v>1032</v>
      </c>
      <c r="E50" s="30" t="s">
        <v>346</v>
      </c>
      <c r="F50" s="30" t="s">
        <v>344</v>
      </c>
      <c r="G50" s="30" t="s">
        <v>201</v>
      </c>
      <c r="H50" s="30" t="s">
        <v>618</v>
      </c>
      <c r="I50" s="30">
        <v>961132</v>
      </c>
      <c r="J50" s="30"/>
      <c r="K50" s="30" t="s">
        <v>182</v>
      </c>
      <c r="L50" s="64">
        <v>400</v>
      </c>
      <c r="M50" s="143">
        <v>133.19800000000001</v>
      </c>
      <c r="N50" s="64">
        <f t="shared" si="6"/>
        <v>266.80200000000002</v>
      </c>
      <c r="O50" s="54">
        <f t="shared" si="7"/>
        <v>0.33299500000000004</v>
      </c>
    </row>
    <row r="51" spans="1:15">
      <c r="A51" s="30" t="s">
        <v>451</v>
      </c>
      <c r="B51" s="30" t="s">
        <v>345</v>
      </c>
      <c r="C51" s="73">
        <v>45405</v>
      </c>
      <c r="D51" s="30">
        <v>1032</v>
      </c>
      <c r="E51" s="30" t="s">
        <v>346</v>
      </c>
      <c r="F51" s="30" t="s">
        <v>344</v>
      </c>
      <c r="G51" s="30" t="s">
        <v>201</v>
      </c>
      <c r="H51" s="30" t="s">
        <v>407</v>
      </c>
      <c r="I51" s="30">
        <v>951220</v>
      </c>
      <c r="J51" s="30"/>
      <c r="K51" s="30" t="s">
        <v>181</v>
      </c>
      <c r="L51" s="64">
        <v>160</v>
      </c>
      <c r="M51" s="143">
        <v>11.048999999999999</v>
      </c>
      <c r="N51" s="64">
        <f t="shared" ref="N51:N70" si="8">L51-M51</f>
        <v>148.95099999999999</v>
      </c>
      <c r="O51" s="54">
        <f t="shared" ref="O51:O70" si="9">M51/L51</f>
        <v>6.905625E-2</v>
      </c>
    </row>
    <row r="52" spans="1:15">
      <c r="A52" s="30" t="s">
        <v>451</v>
      </c>
      <c r="B52" s="30" t="s">
        <v>345</v>
      </c>
      <c r="C52" s="73">
        <v>45405</v>
      </c>
      <c r="D52" s="30">
        <v>1032</v>
      </c>
      <c r="E52" s="30" t="s">
        <v>346</v>
      </c>
      <c r="F52" s="30" t="s">
        <v>344</v>
      </c>
      <c r="G52" s="30" t="s">
        <v>201</v>
      </c>
      <c r="H52" s="30" t="s">
        <v>407</v>
      </c>
      <c r="I52" s="30">
        <v>951220</v>
      </c>
      <c r="J52" s="30"/>
      <c r="K52" s="30" t="s">
        <v>182</v>
      </c>
      <c r="L52" s="64">
        <v>400</v>
      </c>
      <c r="M52" s="143"/>
      <c r="N52" s="64">
        <f t="shared" si="8"/>
        <v>400</v>
      </c>
      <c r="O52" s="54">
        <f t="shared" si="9"/>
        <v>0</v>
      </c>
    </row>
    <row r="53" spans="1:15">
      <c r="A53" s="30" t="s">
        <v>451</v>
      </c>
      <c r="B53" s="30" t="s">
        <v>345</v>
      </c>
      <c r="C53" s="73">
        <v>45405</v>
      </c>
      <c r="D53" s="30">
        <v>1032</v>
      </c>
      <c r="E53" s="30" t="s">
        <v>346</v>
      </c>
      <c r="F53" s="30" t="s">
        <v>344</v>
      </c>
      <c r="G53" s="30" t="s">
        <v>201</v>
      </c>
      <c r="H53" s="30" t="s">
        <v>609</v>
      </c>
      <c r="I53" s="30">
        <v>957377</v>
      </c>
      <c r="J53" s="30"/>
      <c r="K53" s="30" t="s">
        <v>181</v>
      </c>
      <c r="L53" s="64">
        <v>160</v>
      </c>
      <c r="M53" s="143">
        <v>77.194999999999993</v>
      </c>
      <c r="N53" s="64">
        <f t="shared" si="8"/>
        <v>82.805000000000007</v>
      </c>
      <c r="O53" s="54">
        <f t="shared" si="9"/>
        <v>0.48246874999999995</v>
      </c>
    </row>
    <row r="54" spans="1:15">
      <c r="A54" s="30" t="s">
        <v>451</v>
      </c>
      <c r="B54" s="30" t="s">
        <v>345</v>
      </c>
      <c r="C54" s="73">
        <v>45405</v>
      </c>
      <c r="D54" s="30">
        <v>1032</v>
      </c>
      <c r="E54" s="30" t="s">
        <v>346</v>
      </c>
      <c r="F54" s="30" t="s">
        <v>344</v>
      </c>
      <c r="G54" s="30" t="s">
        <v>201</v>
      </c>
      <c r="H54" s="30" t="s">
        <v>609</v>
      </c>
      <c r="I54" s="30">
        <v>957377</v>
      </c>
      <c r="J54" s="30"/>
      <c r="K54" s="30" t="s">
        <v>182</v>
      </c>
      <c r="L54" s="64">
        <v>400</v>
      </c>
      <c r="M54" s="143">
        <v>33.895000000000003</v>
      </c>
      <c r="N54" s="64">
        <f t="shared" si="8"/>
        <v>366.10500000000002</v>
      </c>
      <c r="O54" s="54">
        <f t="shared" si="9"/>
        <v>8.4737500000000007E-2</v>
      </c>
    </row>
    <row r="55" spans="1:15">
      <c r="A55" s="30" t="s">
        <v>451</v>
      </c>
      <c r="B55" s="30" t="s">
        <v>345</v>
      </c>
      <c r="C55" s="73">
        <v>45405</v>
      </c>
      <c r="D55" s="30">
        <v>1032</v>
      </c>
      <c r="E55" s="30" t="s">
        <v>346</v>
      </c>
      <c r="F55" s="30" t="s">
        <v>344</v>
      </c>
      <c r="G55" s="30" t="s">
        <v>201</v>
      </c>
      <c r="H55" s="30" t="s">
        <v>636</v>
      </c>
      <c r="I55" s="30">
        <v>958703</v>
      </c>
      <c r="J55" s="30"/>
      <c r="K55" s="30" t="s">
        <v>181</v>
      </c>
      <c r="L55" s="64">
        <v>160</v>
      </c>
      <c r="M55" s="143">
        <v>98.783000000000001</v>
      </c>
      <c r="N55" s="64">
        <f t="shared" si="8"/>
        <v>61.216999999999999</v>
      </c>
      <c r="O55" s="54">
        <f t="shared" si="9"/>
        <v>0.61739374999999996</v>
      </c>
    </row>
    <row r="56" spans="1:15">
      <c r="A56" s="30" t="s">
        <v>451</v>
      </c>
      <c r="B56" s="30" t="s">
        <v>345</v>
      </c>
      <c r="C56" s="73">
        <v>45405</v>
      </c>
      <c r="D56" s="30">
        <v>1032</v>
      </c>
      <c r="E56" s="30" t="s">
        <v>346</v>
      </c>
      <c r="F56" s="30" t="s">
        <v>344</v>
      </c>
      <c r="G56" s="30" t="s">
        <v>201</v>
      </c>
      <c r="H56" s="30" t="s">
        <v>636</v>
      </c>
      <c r="I56" s="30">
        <v>958703</v>
      </c>
      <c r="J56" s="30"/>
      <c r="K56" s="30" t="s">
        <v>182</v>
      </c>
      <c r="L56" s="64">
        <v>400</v>
      </c>
      <c r="M56" s="143">
        <v>23.974</v>
      </c>
      <c r="N56" s="64">
        <f t="shared" si="8"/>
        <v>376.02600000000001</v>
      </c>
      <c r="O56" s="54">
        <f t="shared" si="9"/>
        <v>5.9935000000000002E-2</v>
      </c>
    </row>
    <row r="57" spans="1:15">
      <c r="A57" s="30" t="s">
        <v>451</v>
      </c>
      <c r="B57" s="30" t="s">
        <v>345</v>
      </c>
      <c r="C57" s="73">
        <v>45405</v>
      </c>
      <c r="D57" s="30">
        <v>1032</v>
      </c>
      <c r="E57" s="30" t="s">
        <v>346</v>
      </c>
      <c r="F57" s="30" t="s">
        <v>344</v>
      </c>
      <c r="G57" s="30" t="s">
        <v>201</v>
      </c>
      <c r="H57" s="30" t="s">
        <v>624</v>
      </c>
      <c r="I57" s="30">
        <v>925404</v>
      </c>
      <c r="J57" s="30"/>
      <c r="K57" s="30" t="s">
        <v>181</v>
      </c>
      <c r="L57" s="64">
        <v>160</v>
      </c>
      <c r="M57" s="143"/>
      <c r="N57" s="64">
        <f t="shared" si="8"/>
        <v>160</v>
      </c>
      <c r="O57" s="54">
        <f t="shared" si="9"/>
        <v>0</v>
      </c>
    </row>
    <row r="58" spans="1:15">
      <c r="A58" s="30" t="s">
        <v>451</v>
      </c>
      <c r="B58" s="30" t="s">
        <v>345</v>
      </c>
      <c r="C58" s="73">
        <v>45405</v>
      </c>
      <c r="D58" s="30">
        <v>1032</v>
      </c>
      <c r="E58" s="30" t="s">
        <v>346</v>
      </c>
      <c r="F58" s="30" t="s">
        <v>344</v>
      </c>
      <c r="G58" s="30" t="s">
        <v>201</v>
      </c>
      <c r="H58" s="30" t="s">
        <v>624</v>
      </c>
      <c r="I58" s="30">
        <v>925404</v>
      </c>
      <c r="J58" s="30"/>
      <c r="K58" s="30" t="s">
        <v>182</v>
      </c>
      <c r="L58" s="64">
        <v>400</v>
      </c>
      <c r="M58" s="143"/>
      <c r="N58" s="64">
        <f t="shared" si="8"/>
        <v>400</v>
      </c>
      <c r="O58" s="54">
        <f t="shared" si="9"/>
        <v>0</v>
      </c>
    </row>
    <row r="59" spans="1:15">
      <c r="A59" s="30" t="s">
        <v>451</v>
      </c>
      <c r="B59" s="30" t="s">
        <v>345</v>
      </c>
      <c r="C59" s="73">
        <v>45405</v>
      </c>
      <c r="D59" s="30">
        <v>1032</v>
      </c>
      <c r="E59" s="30" t="s">
        <v>346</v>
      </c>
      <c r="F59" s="30" t="s">
        <v>344</v>
      </c>
      <c r="G59" s="30" t="s">
        <v>201</v>
      </c>
      <c r="H59" s="30" t="s">
        <v>637</v>
      </c>
      <c r="I59" s="30">
        <v>11718</v>
      </c>
      <c r="J59" s="30"/>
      <c r="K59" s="30" t="s">
        <v>181</v>
      </c>
      <c r="L59" s="64">
        <v>160</v>
      </c>
      <c r="M59" s="143"/>
      <c r="N59" s="64">
        <f t="shared" si="8"/>
        <v>160</v>
      </c>
      <c r="O59" s="54">
        <f t="shared" si="9"/>
        <v>0</v>
      </c>
    </row>
    <row r="60" spans="1:15">
      <c r="A60" s="30" t="s">
        <v>451</v>
      </c>
      <c r="B60" s="30" t="s">
        <v>345</v>
      </c>
      <c r="C60" s="73">
        <v>45405</v>
      </c>
      <c r="D60" s="30">
        <v>1032</v>
      </c>
      <c r="E60" s="30" t="s">
        <v>346</v>
      </c>
      <c r="F60" s="30" t="s">
        <v>344</v>
      </c>
      <c r="G60" s="30" t="s">
        <v>201</v>
      </c>
      <c r="H60" s="30" t="s">
        <v>637</v>
      </c>
      <c r="I60" s="30">
        <v>11718</v>
      </c>
      <c r="J60" s="30"/>
      <c r="K60" s="30" t="s">
        <v>182</v>
      </c>
      <c r="L60" s="64">
        <v>400</v>
      </c>
      <c r="M60" s="143"/>
      <c r="N60" s="64">
        <f t="shared" si="8"/>
        <v>400</v>
      </c>
      <c r="O60" s="54">
        <f t="shared" si="9"/>
        <v>0</v>
      </c>
    </row>
    <row r="61" spans="1:15">
      <c r="A61" s="30" t="s">
        <v>451</v>
      </c>
      <c r="B61" s="30" t="s">
        <v>345</v>
      </c>
      <c r="C61" s="73">
        <v>45405</v>
      </c>
      <c r="D61" s="30">
        <v>1032</v>
      </c>
      <c r="E61" s="30" t="s">
        <v>346</v>
      </c>
      <c r="F61" s="30" t="s">
        <v>344</v>
      </c>
      <c r="G61" s="30" t="s">
        <v>201</v>
      </c>
      <c r="H61" s="30" t="s">
        <v>616</v>
      </c>
      <c r="I61" s="30">
        <v>701151</v>
      </c>
      <c r="J61" s="30"/>
      <c r="K61" s="30" t="s">
        <v>181</v>
      </c>
      <c r="L61" s="64">
        <v>160</v>
      </c>
      <c r="M61" s="143"/>
      <c r="N61" s="64">
        <f t="shared" si="8"/>
        <v>160</v>
      </c>
      <c r="O61" s="54">
        <f t="shared" si="9"/>
        <v>0</v>
      </c>
    </row>
    <row r="62" spans="1:15">
      <c r="A62" s="30" t="s">
        <v>451</v>
      </c>
      <c r="B62" s="30" t="s">
        <v>345</v>
      </c>
      <c r="C62" s="73">
        <v>45405</v>
      </c>
      <c r="D62" s="30">
        <v>1032</v>
      </c>
      <c r="E62" s="30" t="s">
        <v>346</v>
      </c>
      <c r="F62" s="30" t="s">
        <v>344</v>
      </c>
      <c r="G62" s="30" t="s">
        <v>201</v>
      </c>
      <c r="H62" s="30" t="s">
        <v>616</v>
      </c>
      <c r="I62" s="30">
        <v>701151</v>
      </c>
      <c r="J62" s="30"/>
      <c r="K62" s="30" t="s">
        <v>182</v>
      </c>
      <c r="L62" s="64">
        <v>400</v>
      </c>
      <c r="M62" s="143"/>
      <c r="N62" s="64">
        <f t="shared" si="8"/>
        <v>400</v>
      </c>
      <c r="O62" s="54">
        <f t="shared" si="9"/>
        <v>0</v>
      </c>
    </row>
    <row r="63" spans="1:15">
      <c r="A63" s="30" t="s">
        <v>451</v>
      </c>
      <c r="B63" s="30" t="s">
        <v>345</v>
      </c>
      <c r="C63" s="73">
        <v>45405</v>
      </c>
      <c r="D63" s="30">
        <v>1032</v>
      </c>
      <c r="E63" s="30" t="s">
        <v>346</v>
      </c>
      <c r="F63" s="30" t="s">
        <v>344</v>
      </c>
      <c r="G63" s="30" t="s">
        <v>201</v>
      </c>
      <c r="H63" s="30" t="s">
        <v>597</v>
      </c>
      <c r="I63" s="30">
        <v>964500</v>
      </c>
      <c r="J63" s="30"/>
      <c r="K63" s="30" t="s">
        <v>181</v>
      </c>
      <c r="L63" s="64">
        <v>160</v>
      </c>
      <c r="M63" s="143"/>
      <c r="N63" s="64">
        <f t="shared" si="8"/>
        <v>160</v>
      </c>
      <c r="O63" s="54">
        <f t="shared" si="9"/>
        <v>0</v>
      </c>
    </row>
    <row r="64" spans="1:15">
      <c r="A64" s="30" t="s">
        <v>451</v>
      </c>
      <c r="B64" s="30" t="s">
        <v>345</v>
      </c>
      <c r="C64" s="73">
        <v>45405</v>
      </c>
      <c r="D64" s="30">
        <v>1032</v>
      </c>
      <c r="E64" s="30" t="s">
        <v>346</v>
      </c>
      <c r="F64" s="30" t="s">
        <v>344</v>
      </c>
      <c r="G64" s="30" t="s">
        <v>201</v>
      </c>
      <c r="H64" s="30" t="s">
        <v>597</v>
      </c>
      <c r="I64" s="30">
        <v>964500</v>
      </c>
      <c r="J64" s="30"/>
      <c r="K64" s="30" t="s">
        <v>182</v>
      </c>
      <c r="L64" s="64">
        <v>400</v>
      </c>
      <c r="M64" s="143"/>
      <c r="N64" s="64">
        <f t="shared" si="8"/>
        <v>400</v>
      </c>
      <c r="O64" s="54">
        <f t="shared" si="9"/>
        <v>0</v>
      </c>
    </row>
    <row r="65" spans="1:15">
      <c r="A65" s="30" t="s">
        <v>451</v>
      </c>
      <c r="B65" s="30" t="s">
        <v>345</v>
      </c>
      <c r="C65" s="73">
        <v>45405</v>
      </c>
      <c r="D65" s="30">
        <v>1032</v>
      </c>
      <c r="E65" s="30" t="s">
        <v>346</v>
      </c>
      <c r="F65" s="30" t="s">
        <v>344</v>
      </c>
      <c r="G65" s="30" t="s">
        <v>201</v>
      </c>
      <c r="H65" s="30" t="s">
        <v>638</v>
      </c>
      <c r="I65" s="30">
        <v>950656</v>
      </c>
      <c r="J65" s="30"/>
      <c r="K65" s="30" t="s">
        <v>181</v>
      </c>
      <c r="L65" s="64">
        <v>160</v>
      </c>
      <c r="M65" s="143">
        <v>107.99</v>
      </c>
      <c r="N65" s="64">
        <f t="shared" si="8"/>
        <v>52.010000000000005</v>
      </c>
      <c r="O65" s="54">
        <f t="shared" si="9"/>
        <v>0.67493749999999997</v>
      </c>
    </row>
    <row r="66" spans="1:15">
      <c r="A66" s="30" t="s">
        <v>451</v>
      </c>
      <c r="B66" s="30" t="s">
        <v>345</v>
      </c>
      <c r="C66" s="73">
        <v>45405</v>
      </c>
      <c r="D66" s="30">
        <v>1032</v>
      </c>
      <c r="E66" s="30" t="s">
        <v>346</v>
      </c>
      <c r="F66" s="30" t="s">
        <v>344</v>
      </c>
      <c r="G66" s="30" t="s">
        <v>201</v>
      </c>
      <c r="H66" s="30" t="s">
        <v>638</v>
      </c>
      <c r="I66" s="30">
        <v>950656</v>
      </c>
      <c r="J66" s="30"/>
      <c r="K66" s="30" t="s">
        <v>182</v>
      </c>
      <c r="L66" s="64">
        <v>400</v>
      </c>
      <c r="M66" s="143">
        <v>59.755000000000003</v>
      </c>
      <c r="N66" s="64">
        <f t="shared" si="8"/>
        <v>340.245</v>
      </c>
      <c r="O66" s="54">
        <f t="shared" si="9"/>
        <v>0.14938750000000001</v>
      </c>
    </row>
    <row r="67" spans="1:15">
      <c r="A67" s="30" t="s">
        <v>451</v>
      </c>
      <c r="B67" s="30" t="s">
        <v>345</v>
      </c>
      <c r="C67" s="73">
        <v>45405</v>
      </c>
      <c r="D67" s="30">
        <v>1032</v>
      </c>
      <c r="E67" s="30" t="s">
        <v>346</v>
      </c>
      <c r="F67" s="30" t="s">
        <v>344</v>
      </c>
      <c r="G67" s="30" t="s">
        <v>201</v>
      </c>
      <c r="H67" s="30" t="s">
        <v>639</v>
      </c>
      <c r="I67" s="30">
        <v>956926</v>
      </c>
      <c r="J67" s="30"/>
      <c r="K67" s="30" t="s">
        <v>181</v>
      </c>
      <c r="L67" s="64">
        <v>160</v>
      </c>
      <c r="M67" s="143">
        <v>58.131999999999998</v>
      </c>
      <c r="N67" s="64">
        <f t="shared" si="8"/>
        <v>101.86799999999999</v>
      </c>
      <c r="O67" s="54">
        <f t="shared" si="9"/>
        <v>0.36332500000000001</v>
      </c>
    </row>
    <row r="68" spans="1:15">
      <c r="A68" s="30" t="s">
        <v>451</v>
      </c>
      <c r="B68" s="30" t="s">
        <v>345</v>
      </c>
      <c r="C68" s="73">
        <v>45405</v>
      </c>
      <c r="D68" s="30">
        <v>1032</v>
      </c>
      <c r="E68" s="30" t="s">
        <v>346</v>
      </c>
      <c r="F68" s="30" t="s">
        <v>344</v>
      </c>
      <c r="G68" s="30" t="s">
        <v>201</v>
      </c>
      <c r="H68" s="30" t="s">
        <v>639</v>
      </c>
      <c r="I68" s="30">
        <v>956926</v>
      </c>
      <c r="J68" s="30"/>
      <c r="K68" s="30" t="s">
        <v>182</v>
      </c>
      <c r="L68" s="64">
        <v>400</v>
      </c>
      <c r="M68" s="143">
        <v>86.238</v>
      </c>
      <c r="N68" s="64">
        <f t="shared" si="8"/>
        <v>313.762</v>
      </c>
      <c r="O68" s="54">
        <f t="shared" si="9"/>
        <v>0.21559500000000001</v>
      </c>
    </row>
    <row r="69" spans="1:15">
      <c r="A69" s="30" t="s">
        <v>451</v>
      </c>
      <c r="B69" s="30" t="s">
        <v>345</v>
      </c>
      <c r="C69" s="73">
        <v>45405</v>
      </c>
      <c r="D69" s="30">
        <v>1032</v>
      </c>
      <c r="E69" s="30" t="s">
        <v>346</v>
      </c>
      <c r="F69" s="30" t="s">
        <v>344</v>
      </c>
      <c r="G69" s="30" t="s">
        <v>201</v>
      </c>
      <c r="H69" s="30" t="s">
        <v>598</v>
      </c>
      <c r="I69" s="30">
        <v>964972</v>
      </c>
      <c r="J69" s="30"/>
      <c r="K69" s="30" t="s">
        <v>181</v>
      </c>
      <c r="L69" s="64">
        <v>160</v>
      </c>
      <c r="M69" s="143"/>
      <c r="N69" s="64">
        <f t="shared" si="8"/>
        <v>160</v>
      </c>
      <c r="O69" s="54">
        <f t="shared" si="9"/>
        <v>0</v>
      </c>
    </row>
    <row r="70" spans="1:15">
      <c r="A70" s="30" t="s">
        <v>451</v>
      </c>
      <c r="B70" s="30" t="s">
        <v>345</v>
      </c>
      <c r="C70" s="73">
        <v>45405</v>
      </c>
      <c r="D70" s="30">
        <v>1032</v>
      </c>
      <c r="E70" s="30" t="s">
        <v>346</v>
      </c>
      <c r="F70" s="30" t="s">
        <v>344</v>
      </c>
      <c r="G70" s="30" t="s">
        <v>201</v>
      </c>
      <c r="H70" s="30" t="s">
        <v>598</v>
      </c>
      <c r="I70" s="30">
        <v>964972</v>
      </c>
      <c r="J70" s="30"/>
      <c r="K70" s="30" t="s">
        <v>182</v>
      </c>
      <c r="L70" s="64">
        <v>400</v>
      </c>
      <c r="M70" s="143"/>
      <c r="N70" s="64">
        <f t="shared" si="8"/>
        <v>400</v>
      </c>
      <c r="O70" s="54">
        <f t="shared" si="9"/>
        <v>0</v>
      </c>
    </row>
    <row r="71" spans="1:15">
      <c r="A71" s="30" t="s">
        <v>451</v>
      </c>
      <c r="B71" s="30" t="s">
        <v>345</v>
      </c>
      <c r="C71" s="73">
        <v>45405</v>
      </c>
      <c r="D71" s="30">
        <v>1034</v>
      </c>
      <c r="E71" s="30" t="s">
        <v>346</v>
      </c>
      <c r="F71" s="30" t="s">
        <v>344</v>
      </c>
      <c r="G71" s="30" t="s">
        <v>201</v>
      </c>
      <c r="H71" s="30" t="s">
        <v>641</v>
      </c>
      <c r="I71" s="30">
        <v>966133</v>
      </c>
      <c r="J71" s="30"/>
      <c r="K71" s="30" t="s">
        <v>181</v>
      </c>
      <c r="L71" s="64">
        <v>100</v>
      </c>
      <c r="M71" s="143"/>
      <c r="N71" s="64">
        <f t="shared" ref="N71:N74" si="10">L71-M71</f>
        <v>100</v>
      </c>
      <c r="O71" s="54">
        <f t="shared" ref="O71:O74" si="11">M71/L71</f>
        <v>0</v>
      </c>
    </row>
    <row r="72" spans="1:15">
      <c r="A72" s="30" t="s">
        <v>451</v>
      </c>
      <c r="B72" s="30" t="s">
        <v>345</v>
      </c>
      <c r="C72" s="73">
        <v>45405</v>
      </c>
      <c r="D72" s="30">
        <v>1034</v>
      </c>
      <c r="E72" s="30" t="s">
        <v>346</v>
      </c>
      <c r="F72" s="30" t="s">
        <v>344</v>
      </c>
      <c r="G72" s="30" t="s">
        <v>201</v>
      </c>
      <c r="H72" s="30" t="s">
        <v>641</v>
      </c>
      <c r="I72" s="30">
        <v>966133</v>
      </c>
      <c r="J72" s="30"/>
      <c r="K72" s="30" t="s">
        <v>182</v>
      </c>
      <c r="L72" s="64">
        <v>75</v>
      </c>
      <c r="M72" s="143"/>
      <c r="N72" s="64">
        <f t="shared" si="10"/>
        <v>75</v>
      </c>
      <c r="O72" s="54">
        <f t="shared" si="11"/>
        <v>0</v>
      </c>
    </row>
    <row r="73" spans="1:15">
      <c r="A73" s="30" t="s">
        <v>451</v>
      </c>
      <c r="B73" s="30" t="s">
        <v>345</v>
      </c>
      <c r="C73" s="73">
        <v>45405</v>
      </c>
      <c r="D73" s="30">
        <v>1034</v>
      </c>
      <c r="E73" s="30" t="s">
        <v>346</v>
      </c>
      <c r="F73" s="30" t="s">
        <v>344</v>
      </c>
      <c r="G73" s="30" t="s">
        <v>201</v>
      </c>
      <c r="H73" s="30" t="s">
        <v>642</v>
      </c>
      <c r="I73" s="30">
        <v>702006</v>
      </c>
      <c r="J73" s="30"/>
      <c r="K73" s="30" t="s">
        <v>181</v>
      </c>
      <c r="L73" s="64">
        <v>100</v>
      </c>
      <c r="M73" s="143"/>
      <c r="N73" s="64">
        <f t="shared" si="10"/>
        <v>100</v>
      </c>
      <c r="O73" s="54">
        <f t="shared" si="11"/>
        <v>0</v>
      </c>
    </row>
    <row r="74" spans="1:15">
      <c r="A74" s="30" t="s">
        <v>451</v>
      </c>
      <c r="B74" s="30" t="s">
        <v>345</v>
      </c>
      <c r="C74" s="73">
        <v>45405</v>
      </c>
      <c r="D74" s="30">
        <v>1034</v>
      </c>
      <c r="E74" s="30" t="s">
        <v>346</v>
      </c>
      <c r="F74" s="30" t="s">
        <v>344</v>
      </c>
      <c r="G74" s="30" t="s">
        <v>201</v>
      </c>
      <c r="H74" s="30" t="s">
        <v>642</v>
      </c>
      <c r="I74" s="30">
        <v>702006</v>
      </c>
      <c r="J74" s="30"/>
      <c r="K74" s="30" t="s">
        <v>182</v>
      </c>
      <c r="L74" s="64">
        <v>75</v>
      </c>
      <c r="M74" s="143"/>
      <c r="N74" s="64">
        <f t="shared" si="10"/>
        <v>75</v>
      </c>
      <c r="O74" s="54">
        <f t="shared" si="11"/>
        <v>0</v>
      </c>
    </row>
    <row r="75" spans="1:15">
      <c r="A75" s="30" t="s">
        <v>451</v>
      </c>
      <c r="B75" s="30" t="s">
        <v>345</v>
      </c>
      <c r="C75" s="73">
        <v>45405</v>
      </c>
      <c r="D75" s="30">
        <v>1034</v>
      </c>
      <c r="E75" s="30" t="s">
        <v>346</v>
      </c>
      <c r="F75" s="30" t="s">
        <v>344</v>
      </c>
      <c r="G75" s="30" t="s">
        <v>201</v>
      </c>
      <c r="H75" s="30" t="s">
        <v>643</v>
      </c>
      <c r="I75" s="30">
        <v>698145</v>
      </c>
      <c r="J75" s="30"/>
      <c r="K75" s="30" t="s">
        <v>181</v>
      </c>
      <c r="L75" s="64">
        <v>100</v>
      </c>
      <c r="M75" s="143">
        <v>34.607999999999997</v>
      </c>
      <c r="N75" s="64">
        <f t="shared" ref="N75:N82" si="12">L75-M75</f>
        <v>65.391999999999996</v>
      </c>
      <c r="O75" s="54">
        <f t="shared" ref="O75:O82" si="13">M75/L75</f>
        <v>0.34607999999999994</v>
      </c>
    </row>
    <row r="76" spans="1:15">
      <c r="A76" s="30" t="s">
        <v>451</v>
      </c>
      <c r="B76" s="30" t="s">
        <v>345</v>
      </c>
      <c r="C76" s="73">
        <v>45405</v>
      </c>
      <c r="D76" s="30">
        <v>1034</v>
      </c>
      <c r="E76" s="30" t="s">
        <v>346</v>
      </c>
      <c r="F76" s="30" t="s">
        <v>344</v>
      </c>
      <c r="G76" s="30" t="s">
        <v>201</v>
      </c>
      <c r="H76" s="30" t="s">
        <v>643</v>
      </c>
      <c r="I76" s="30">
        <v>698145</v>
      </c>
      <c r="J76" s="30"/>
      <c r="K76" s="30" t="s">
        <v>182</v>
      </c>
      <c r="L76" s="64">
        <v>75</v>
      </c>
      <c r="M76" s="143">
        <v>124.752</v>
      </c>
      <c r="N76" s="64">
        <f t="shared" si="12"/>
        <v>-49.751999999999995</v>
      </c>
      <c r="O76" s="54">
        <f t="shared" si="13"/>
        <v>1.6633599999999999</v>
      </c>
    </row>
    <row r="77" spans="1:15">
      <c r="A77" s="30" t="s">
        <v>451</v>
      </c>
      <c r="B77" s="30" t="s">
        <v>345</v>
      </c>
      <c r="C77" s="73">
        <v>45405</v>
      </c>
      <c r="D77" s="30">
        <v>1034</v>
      </c>
      <c r="E77" s="30" t="s">
        <v>346</v>
      </c>
      <c r="F77" s="30" t="s">
        <v>344</v>
      </c>
      <c r="G77" s="30" t="s">
        <v>201</v>
      </c>
      <c r="H77" s="30" t="s">
        <v>584</v>
      </c>
      <c r="I77" s="30">
        <v>697771</v>
      </c>
      <c r="J77" s="30"/>
      <c r="K77" s="30" t="s">
        <v>181</v>
      </c>
      <c r="L77" s="64">
        <v>400</v>
      </c>
      <c r="M77" s="143">
        <v>14.082000000000001</v>
      </c>
      <c r="N77" s="64">
        <f t="shared" si="12"/>
        <v>385.91800000000001</v>
      </c>
      <c r="O77" s="54">
        <f t="shared" si="13"/>
        <v>3.5205E-2</v>
      </c>
    </row>
    <row r="78" spans="1:15">
      <c r="A78" s="30" t="s">
        <v>451</v>
      </c>
      <c r="B78" s="30" t="s">
        <v>345</v>
      </c>
      <c r="C78" s="73">
        <v>45405</v>
      </c>
      <c r="D78" s="30">
        <v>1034</v>
      </c>
      <c r="E78" s="30" t="s">
        <v>346</v>
      </c>
      <c r="F78" s="30" t="s">
        <v>344</v>
      </c>
      <c r="G78" s="30" t="s">
        <v>201</v>
      </c>
      <c r="H78" s="30" t="s">
        <v>584</v>
      </c>
      <c r="I78" s="30">
        <v>697771</v>
      </c>
      <c r="J78" s="30"/>
      <c r="K78" s="30" t="s">
        <v>182</v>
      </c>
      <c r="L78" s="64">
        <v>160</v>
      </c>
      <c r="M78" s="143">
        <v>32.883000000000003</v>
      </c>
      <c r="N78" s="64">
        <f t="shared" si="12"/>
        <v>127.11699999999999</v>
      </c>
      <c r="O78" s="54">
        <f t="shared" si="13"/>
        <v>0.20551875000000003</v>
      </c>
    </row>
    <row r="79" spans="1:15">
      <c r="A79" s="30" t="s">
        <v>451</v>
      </c>
      <c r="B79" s="30" t="s">
        <v>345</v>
      </c>
      <c r="C79" s="73">
        <v>45405</v>
      </c>
      <c r="D79" s="30">
        <v>1034</v>
      </c>
      <c r="E79" s="30" t="s">
        <v>346</v>
      </c>
      <c r="F79" s="30" t="s">
        <v>344</v>
      </c>
      <c r="G79" s="30" t="s">
        <v>201</v>
      </c>
      <c r="H79" s="30" t="s">
        <v>632</v>
      </c>
      <c r="I79" s="30">
        <v>956970</v>
      </c>
      <c r="J79" s="30"/>
      <c r="K79" s="30" t="s">
        <v>181</v>
      </c>
      <c r="L79" s="64">
        <v>400</v>
      </c>
      <c r="M79" s="143"/>
      <c r="N79" s="64">
        <f t="shared" si="12"/>
        <v>400</v>
      </c>
      <c r="O79" s="54">
        <f t="shared" si="13"/>
        <v>0</v>
      </c>
    </row>
    <row r="80" spans="1:15">
      <c r="A80" s="30" t="s">
        <v>451</v>
      </c>
      <c r="B80" s="30" t="s">
        <v>345</v>
      </c>
      <c r="C80" s="73">
        <v>45405</v>
      </c>
      <c r="D80" s="30">
        <v>1034</v>
      </c>
      <c r="E80" s="30" t="s">
        <v>346</v>
      </c>
      <c r="F80" s="30" t="s">
        <v>344</v>
      </c>
      <c r="G80" s="30" t="s">
        <v>201</v>
      </c>
      <c r="H80" s="30" t="s">
        <v>632</v>
      </c>
      <c r="I80" s="30">
        <v>956970</v>
      </c>
      <c r="J80" s="30"/>
      <c r="K80" s="30" t="s">
        <v>182</v>
      </c>
      <c r="L80" s="64">
        <v>160</v>
      </c>
      <c r="M80" s="143"/>
      <c r="N80" s="64">
        <f t="shared" si="12"/>
        <v>160</v>
      </c>
      <c r="O80" s="54">
        <f t="shared" si="13"/>
        <v>0</v>
      </c>
    </row>
    <row r="81" spans="1:15">
      <c r="A81" s="30" t="s">
        <v>451</v>
      </c>
      <c r="B81" s="30" t="s">
        <v>345</v>
      </c>
      <c r="C81" s="73">
        <v>45405</v>
      </c>
      <c r="D81" s="30">
        <v>1034</v>
      </c>
      <c r="E81" s="30" t="s">
        <v>346</v>
      </c>
      <c r="F81" s="30" t="s">
        <v>344</v>
      </c>
      <c r="G81" s="30" t="s">
        <v>201</v>
      </c>
      <c r="H81" s="30" t="s">
        <v>644</v>
      </c>
      <c r="I81" s="30">
        <v>699654</v>
      </c>
      <c r="J81" s="30"/>
      <c r="K81" s="30" t="s">
        <v>181</v>
      </c>
      <c r="L81" s="64">
        <v>400</v>
      </c>
      <c r="M81" s="143"/>
      <c r="N81" s="64">
        <f t="shared" si="12"/>
        <v>400</v>
      </c>
      <c r="O81" s="54">
        <f t="shared" si="13"/>
        <v>0</v>
      </c>
    </row>
    <row r="82" spans="1:15">
      <c r="A82" s="30" t="s">
        <v>451</v>
      </c>
      <c r="B82" s="30" t="s">
        <v>345</v>
      </c>
      <c r="C82" s="73">
        <v>45405</v>
      </c>
      <c r="D82" s="30">
        <v>1034</v>
      </c>
      <c r="E82" s="30" t="s">
        <v>346</v>
      </c>
      <c r="F82" s="30" t="s">
        <v>344</v>
      </c>
      <c r="G82" s="30" t="s">
        <v>201</v>
      </c>
      <c r="H82" s="30" t="s">
        <v>644</v>
      </c>
      <c r="I82" s="30">
        <v>699654</v>
      </c>
      <c r="J82" s="30"/>
      <c r="K82" s="30" t="s">
        <v>182</v>
      </c>
      <c r="L82" s="64">
        <v>160</v>
      </c>
      <c r="M82" s="143"/>
      <c r="N82" s="64">
        <f t="shared" si="12"/>
        <v>160</v>
      </c>
      <c r="O82" s="54">
        <f t="shared" si="13"/>
        <v>0</v>
      </c>
    </row>
    <row r="83" spans="1:15">
      <c r="A83" s="30" t="s">
        <v>631</v>
      </c>
      <c r="B83" s="30" t="s">
        <v>345</v>
      </c>
      <c r="C83" s="73">
        <v>45408</v>
      </c>
      <c r="D83" s="30">
        <v>1070</v>
      </c>
      <c r="E83" s="30" t="s">
        <v>346</v>
      </c>
      <c r="F83" s="30" t="s">
        <v>377</v>
      </c>
      <c r="G83" s="30" t="s">
        <v>201</v>
      </c>
      <c r="H83" s="30" t="s">
        <v>618</v>
      </c>
      <c r="I83" s="30">
        <v>961132</v>
      </c>
      <c r="J83" s="30"/>
      <c r="K83" s="30" t="s">
        <v>181</v>
      </c>
      <c r="L83" s="64">
        <v>120</v>
      </c>
      <c r="M83" s="143"/>
      <c r="N83" s="64">
        <f t="shared" ref="N83:N86" si="14">L83-M83</f>
        <v>120</v>
      </c>
      <c r="O83" s="54">
        <f t="shared" ref="O83:O86" si="15">M83/L83</f>
        <v>0</v>
      </c>
    </row>
    <row r="84" spans="1:15">
      <c r="A84" s="30" t="s">
        <v>631</v>
      </c>
      <c r="B84" s="30" t="s">
        <v>345</v>
      </c>
      <c r="C84" s="73">
        <v>45408</v>
      </c>
      <c r="D84" s="30">
        <v>1070</v>
      </c>
      <c r="E84" s="30" t="s">
        <v>346</v>
      </c>
      <c r="F84" s="30" t="s">
        <v>377</v>
      </c>
      <c r="G84" s="30" t="s">
        <v>201</v>
      </c>
      <c r="H84" s="30" t="s">
        <v>618</v>
      </c>
      <c r="I84" s="30">
        <v>961132</v>
      </c>
      <c r="J84" s="30"/>
      <c r="K84" s="30" t="s">
        <v>182</v>
      </c>
      <c r="L84" s="64">
        <v>180</v>
      </c>
      <c r="M84" s="143"/>
      <c r="N84" s="64">
        <f t="shared" si="14"/>
        <v>180</v>
      </c>
      <c r="O84" s="54">
        <f t="shared" si="15"/>
        <v>0</v>
      </c>
    </row>
    <row r="85" spans="1:15">
      <c r="A85" s="30" t="s">
        <v>631</v>
      </c>
      <c r="B85" s="30" t="s">
        <v>345</v>
      </c>
      <c r="C85" s="73">
        <v>45411</v>
      </c>
      <c r="D85" s="30">
        <v>1105</v>
      </c>
      <c r="E85" s="30" t="s">
        <v>346</v>
      </c>
      <c r="F85" s="30" t="s">
        <v>377</v>
      </c>
      <c r="G85" s="30" t="s">
        <v>201</v>
      </c>
      <c r="H85" s="30" t="s">
        <v>643</v>
      </c>
      <c r="I85" s="30">
        <v>698145</v>
      </c>
      <c r="J85" s="30"/>
      <c r="K85" s="30" t="s">
        <v>181</v>
      </c>
      <c r="L85" s="64">
        <v>120</v>
      </c>
      <c r="M85" s="143"/>
      <c r="N85" s="64">
        <f t="shared" si="14"/>
        <v>120</v>
      </c>
      <c r="O85" s="54">
        <f t="shared" si="15"/>
        <v>0</v>
      </c>
    </row>
    <row r="86" spans="1:15">
      <c r="A86" s="30" t="s">
        <v>631</v>
      </c>
      <c r="B86" s="30" t="s">
        <v>345</v>
      </c>
      <c r="C86" s="73">
        <v>45411</v>
      </c>
      <c r="D86" s="30">
        <v>1105</v>
      </c>
      <c r="E86" s="30" t="s">
        <v>346</v>
      </c>
      <c r="F86" s="30" t="s">
        <v>377</v>
      </c>
      <c r="G86" s="30" t="s">
        <v>201</v>
      </c>
      <c r="H86" s="30" t="s">
        <v>643</v>
      </c>
      <c r="I86" s="30">
        <v>698145</v>
      </c>
      <c r="J86" s="30"/>
      <c r="K86" s="30" t="s">
        <v>182</v>
      </c>
      <c r="L86" s="64">
        <v>180</v>
      </c>
      <c r="M86" s="143"/>
      <c r="N86" s="64">
        <f t="shared" si="14"/>
        <v>180</v>
      </c>
      <c r="O86" s="54">
        <f t="shared" si="15"/>
        <v>0</v>
      </c>
    </row>
    <row r="87" spans="1:15">
      <c r="A87" s="30" t="s">
        <v>451</v>
      </c>
      <c r="B87" s="30" t="s">
        <v>345</v>
      </c>
      <c r="C87" s="73">
        <v>45411</v>
      </c>
      <c r="D87" s="30">
        <v>1110</v>
      </c>
      <c r="E87" s="30" t="s">
        <v>346</v>
      </c>
      <c r="F87" s="30" t="s">
        <v>344</v>
      </c>
      <c r="G87" s="30" t="s">
        <v>201</v>
      </c>
      <c r="H87" s="30" t="s">
        <v>620</v>
      </c>
      <c r="I87" s="30">
        <v>916067</v>
      </c>
      <c r="J87" s="30"/>
      <c r="K87" s="30" t="s">
        <v>181</v>
      </c>
      <c r="L87" s="64">
        <v>40</v>
      </c>
      <c r="M87" s="143"/>
      <c r="N87" s="64">
        <f t="shared" ref="N87:N88" si="16">L87-M87</f>
        <v>40</v>
      </c>
      <c r="O87" s="54">
        <f t="shared" ref="O87:O88" si="17">M87/L87</f>
        <v>0</v>
      </c>
    </row>
    <row r="88" spans="1:15">
      <c r="A88" s="30" t="s">
        <v>451</v>
      </c>
      <c r="B88" s="30" t="s">
        <v>345</v>
      </c>
      <c r="C88" s="73">
        <v>45411</v>
      </c>
      <c r="D88" s="30">
        <v>1110</v>
      </c>
      <c r="E88" s="30" t="s">
        <v>346</v>
      </c>
      <c r="F88" s="30" t="s">
        <v>344</v>
      </c>
      <c r="G88" s="30" t="s">
        <v>201</v>
      </c>
      <c r="H88" s="30" t="s">
        <v>620</v>
      </c>
      <c r="I88" s="30">
        <v>916067</v>
      </c>
      <c r="J88" s="30"/>
      <c r="K88" s="30" t="s">
        <v>182</v>
      </c>
      <c r="L88" s="64">
        <v>95</v>
      </c>
      <c r="M88" s="143"/>
      <c r="N88" s="64">
        <f t="shared" si="16"/>
        <v>95</v>
      </c>
      <c r="O88" s="54">
        <f t="shared" si="17"/>
        <v>0</v>
      </c>
    </row>
    <row r="89" spans="1:15">
      <c r="A89" s="30" t="s">
        <v>654</v>
      </c>
      <c r="B89" s="30" t="s">
        <v>345</v>
      </c>
      <c r="C89" s="73">
        <v>45419</v>
      </c>
      <c r="D89" s="30">
        <v>1165</v>
      </c>
      <c r="E89" s="30" t="s">
        <v>346</v>
      </c>
      <c r="F89" s="30" t="s">
        <v>377</v>
      </c>
      <c r="G89" s="30" t="s">
        <v>201</v>
      </c>
      <c r="H89" s="30" t="s">
        <v>637</v>
      </c>
      <c r="I89" s="30">
        <v>11718</v>
      </c>
      <c r="J89" s="30"/>
      <c r="K89" s="30" t="s">
        <v>181</v>
      </c>
      <c r="L89" s="64">
        <v>100</v>
      </c>
      <c r="M89" s="143"/>
      <c r="N89" s="64">
        <f t="shared" ref="N89:N92" si="18">L89-M89</f>
        <v>100</v>
      </c>
      <c r="O89" s="54">
        <f t="shared" ref="O89:O92" si="19">M89/L89</f>
        <v>0</v>
      </c>
    </row>
    <row r="90" spans="1:15">
      <c r="A90" s="30" t="s">
        <v>654</v>
      </c>
      <c r="B90" s="30" t="s">
        <v>345</v>
      </c>
      <c r="C90" s="73">
        <v>45419</v>
      </c>
      <c r="D90" s="30">
        <v>1165</v>
      </c>
      <c r="E90" s="30" t="s">
        <v>346</v>
      </c>
      <c r="F90" s="30" t="s">
        <v>377</v>
      </c>
      <c r="G90" s="30" t="s">
        <v>201</v>
      </c>
      <c r="H90" s="30" t="s">
        <v>637</v>
      </c>
      <c r="I90" s="30">
        <v>11718</v>
      </c>
      <c r="J90" s="30"/>
      <c r="K90" s="30" t="s">
        <v>182</v>
      </c>
      <c r="L90" s="64">
        <v>200</v>
      </c>
      <c r="M90" s="143"/>
      <c r="N90" s="64">
        <f t="shared" si="18"/>
        <v>200</v>
      </c>
      <c r="O90" s="54">
        <f t="shared" si="19"/>
        <v>0</v>
      </c>
    </row>
    <row r="91" spans="1:15">
      <c r="A91" s="30" t="s">
        <v>552</v>
      </c>
      <c r="B91" s="30" t="s">
        <v>345</v>
      </c>
      <c r="C91" s="73">
        <v>45419</v>
      </c>
      <c r="D91" s="30">
        <v>1167</v>
      </c>
      <c r="E91" s="30" t="s">
        <v>346</v>
      </c>
      <c r="F91" s="30" t="s">
        <v>377</v>
      </c>
      <c r="G91" s="30" t="s">
        <v>201</v>
      </c>
      <c r="H91" s="30" t="s">
        <v>584</v>
      </c>
      <c r="I91" s="30">
        <v>697771</v>
      </c>
      <c r="J91" s="30"/>
      <c r="K91" s="30" t="s">
        <v>181</v>
      </c>
      <c r="L91" s="64">
        <v>145</v>
      </c>
      <c r="M91" s="143"/>
      <c r="N91" s="64">
        <f t="shared" si="18"/>
        <v>145</v>
      </c>
      <c r="O91" s="54">
        <f t="shared" si="19"/>
        <v>0</v>
      </c>
    </row>
    <row r="92" spans="1:15">
      <c r="A92" s="30" t="s">
        <v>552</v>
      </c>
      <c r="B92" s="30" t="s">
        <v>345</v>
      </c>
      <c r="C92" s="73">
        <v>45419</v>
      </c>
      <c r="D92" s="30">
        <v>1167</v>
      </c>
      <c r="E92" s="30" t="s">
        <v>346</v>
      </c>
      <c r="F92" s="30" t="s">
        <v>377</v>
      </c>
      <c r="G92" s="30" t="s">
        <v>201</v>
      </c>
      <c r="H92" s="30" t="s">
        <v>584</v>
      </c>
      <c r="I92" s="30">
        <v>697771</v>
      </c>
      <c r="J92" s="30"/>
      <c r="K92" s="30" t="s">
        <v>182</v>
      </c>
      <c r="L92" s="64">
        <v>190</v>
      </c>
      <c r="M92" s="143"/>
      <c r="N92" s="64">
        <f t="shared" si="18"/>
        <v>190</v>
      </c>
      <c r="O92" s="54">
        <f t="shared" si="19"/>
        <v>0</v>
      </c>
    </row>
    <row r="93" spans="1:15">
      <c r="A93" s="30" t="s">
        <v>552</v>
      </c>
      <c r="B93" s="30" t="s">
        <v>390</v>
      </c>
      <c r="C93" s="73">
        <v>45419</v>
      </c>
      <c r="D93" s="30">
        <v>1167</v>
      </c>
      <c r="E93" s="30" t="s">
        <v>346</v>
      </c>
      <c r="F93" s="30" t="s">
        <v>377</v>
      </c>
      <c r="G93" s="30" t="s">
        <v>201</v>
      </c>
      <c r="H93" s="30" t="s">
        <v>618</v>
      </c>
      <c r="I93" s="30">
        <v>961132</v>
      </c>
      <c r="J93" s="30"/>
      <c r="K93" s="30" t="s">
        <v>181</v>
      </c>
      <c r="L93" s="213">
        <v>290</v>
      </c>
      <c r="M93" s="143"/>
      <c r="N93" s="213">
        <f>L93-(M93+M94)</f>
        <v>290</v>
      </c>
      <c r="O93" s="217">
        <f>(M93+M94)/L93</f>
        <v>0</v>
      </c>
    </row>
    <row r="94" spans="1:15">
      <c r="A94" s="30" t="s">
        <v>552</v>
      </c>
      <c r="B94" s="30" t="s">
        <v>390</v>
      </c>
      <c r="C94" s="73">
        <v>45419</v>
      </c>
      <c r="D94" s="30">
        <v>1167</v>
      </c>
      <c r="E94" s="30" t="s">
        <v>346</v>
      </c>
      <c r="F94" s="30" t="s">
        <v>377</v>
      </c>
      <c r="G94" s="30" t="s">
        <v>201</v>
      </c>
      <c r="H94" s="30" t="s">
        <v>643</v>
      </c>
      <c r="I94" s="30">
        <v>698145</v>
      </c>
      <c r="J94" s="30"/>
      <c r="K94" s="30" t="s">
        <v>181</v>
      </c>
      <c r="L94" s="215"/>
      <c r="M94" s="143"/>
      <c r="N94" s="215"/>
      <c r="O94" s="217"/>
    </row>
    <row r="95" spans="1:15">
      <c r="A95" s="30" t="s">
        <v>552</v>
      </c>
      <c r="B95" s="30" t="s">
        <v>390</v>
      </c>
      <c r="C95" s="73">
        <v>45419</v>
      </c>
      <c r="D95" s="30">
        <v>1167</v>
      </c>
      <c r="E95" s="30" t="s">
        <v>346</v>
      </c>
      <c r="F95" s="30" t="s">
        <v>377</v>
      </c>
      <c r="G95" s="30" t="s">
        <v>201</v>
      </c>
      <c r="H95" s="30" t="s">
        <v>618</v>
      </c>
      <c r="I95" s="30">
        <v>961132</v>
      </c>
      <c r="J95" s="30"/>
      <c r="K95" s="30" t="s">
        <v>182</v>
      </c>
      <c r="L95" s="213">
        <v>380</v>
      </c>
      <c r="M95" s="143"/>
      <c r="N95" s="213">
        <f>L95-(M95+M96)</f>
        <v>380</v>
      </c>
      <c r="O95" s="217">
        <f>(M95+M96)/L95</f>
        <v>0</v>
      </c>
    </row>
    <row r="96" spans="1:15">
      <c r="A96" s="30" t="s">
        <v>552</v>
      </c>
      <c r="B96" s="30" t="s">
        <v>390</v>
      </c>
      <c r="C96" s="73">
        <v>45419</v>
      </c>
      <c r="D96" s="30">
        <v>1167</v>
      </c>
      <c r="E96" s="30" t="s">
        <v>346</v>
      </c>
      <c r="F96" s="30" t="s">
        <v>377</v>
      </c>
      <c r="G96" s="30" t="s">
        <v>201</v>
      </c>
      <c r="H96" s="30" t="s">
        <v>643</v>
      </c>
      <c r="I96" s="30">
        <v>698145</v>
      </c>
      <c r="J96" s="30"/>
      <c r="K96" s="30" t="s">
        <v>182</v>
      </c>
      <c r="L96" s="215"/>
      <c r="M96" s="143"/>
      <c r="N96" s="215"/>
      <c r="O96" s="217"/>
    </row>
    <row r="97" spans="1:15">
      <c r="A97" s="30" t="s">
        <v>608</v>
      </c>
      <c r="B97" s="30" t="s">
        <v>345</v>
      </c>
      <c r="C97" s="73">
        <v>45419</v>
      </c>
      <c r="D97" s="30">
        <v>1169</v>
      </c>
      <c r="E97" s="30" t="s">
        <v>346</v>
      </c>
      <c r="F97" s="30" t="s">
        <v>377</v>
      </c>
      <c r="G97" s="30" t="s">
        <v>201</v>
      </c>
      <c r="H97" s="30" t="s">
        <v>597</v>
      </c>
      <c r="I97" s="30">
        <v>964500</v>
      </c>
      <c r="J97" s="30"/>
      <c r="K97" s="30" t="s">
        <v>181</v>
      </c>
      <c r="L97" s="64">
        <v>100</v>
      </c>
      <c r="M97" s="143">
        <v>9.6969999999999992</v>
      </c>
      <c r="N97" s="64">
        <f t="shared" ref="N97:N100" si="20">L97-M97</f>
        <v>90.302999999999997</v>
      </c>
      <c r="O97" s="54">
        <f t="shared" ref="O97:O100" si="21">M97/L97</f>
        <v>9.6969999999999987E-2</v>
      </c>
    </row>
    <row r="98" spans="1:15">
      <c r="A98" s="30" t="s">
        <v>608</v>
      </c>
      <c r="B98" s="30" t="s">
        <v>345</v>
      </c>
      <c r="C98" s="73">
        <v>45419</v>
      </c>
      <c r="D98" s="30">
        <v>1169</v>
      </c>
      <c r="E98" s="30" t="s">
        <v>346</v>
      </c>
      <c r="F98" s="30" t="s">
        <v>377</v>
      </c>
      <c r="G98" s="30" t="s">
        <v>201</v>
      </c>
      <c r="H98" s="30" t="s">
        <v>597</v>
      </c>
      <c r="I98" s="30">
        <v>964500</v>
      </c>
      <c r="J98" s="30"/>
      <c r="K98" s="30" t="s">
        <v>182</v>
      </c>
      <c r="L98" s="64">
        <v>200</v>
      </c>
      <c r="M98" s="143">
        <v>20.742000000000001</v>
      </c>
      <c r="N98" s="64">
        <f t="shared" si="20"/>
        <v>179.25800000000001</v>
      </c>
      <c r="O98" s="54">
        <f t="shared" si="21"/>
        <v>0.10371000000000001</v>
      </c>
    </row>
    <row r="99" spans="1:15">
      <c r="A99" s="30" t="s">
        <v>608</v>
      </c>
      <c r="B99" s="30" t="s">
        <v>345</v>
      </c>
      <c r="C99" s="73">
        <v>45419</v>
      </c>
      <c r="D99" s="30">
        <v>1169</v>
      </c>
      <c r="E99" s="30" t="s">
        <v>346</v>
      </c>
      <c r="F99" s="30" t="s">
        <v>377</v>
      </c>
      <c r="G99" s="30" t="s">
        <v>201</v>
      </c>
      <c r="H99" s="30" t="s">
        <v>636</v>
      </c>
      <c r="I99" s="30">
        <v>958703</v>
      </c>
      <c r="J99" s="30"/>
      <c r="K99" s="30" t="s">
        <v>181</v>
      </c>
      <c r="L99" s="64">
        <v>100</v>
      </c>
      <c r="M99" s="143"/>
      <c r="N99" s="64">
        <f t="shared" si="20"/>
        <v>100</v>
      </c>
      <c r="O99" s="54">
        <f t="shared" si="21"/>
        <v>0</v>
      </c>
    </row>
    <row r="100" spans="1:15">
      <c r="A100" s="30" t="s">
        <v>608</v>
      </c>
      <c r="B100" s="30" t="s">
        <v>345</v>
      </c>
      <c r="C100" s="73">
        <v>45419</v>
      </c>
      <c r="D100" s="30">
        <v>1169</v>
      </c>
      <c r="E100" s="30" t="s">
        <v>346</v>
      </c>
      <c r="F100" s="30" t="s">
        <v>377</v>
      </c>
      <c r="G100" s="30" t="s">
        <v>201</v>
      </c>
      <c r="H100" s="30" t="s">
        <v>636</v>
      </c>
      <c r="I100" s="30">
        <v>958703</v>
      </c>
      <c r="J100" s="30"/>
      <c r="K100" s="30" t="s">
        <v>182</v>
      </c>
      <c r="L100" s="64">
        <v>200</v>
      </c>
      <c r="M100" s="143"/>
      <c r="N100" s="64">
        <f t="shared" si="20"/>
        <v>200</v>
      </c>
      <c r="O100" s="54">
        <f t="shared" si="21"/>
        <v>0</v>
      </c>
    </row>
    <row r="101" spans="1:15">
      <c r="A101" s="30" t="s">
        <v>658</v>
      </c>
      <c r="B101" s="30" t="s">
        <v>345</v>
      </c>
      <c r="C101" s="73">
        <v>45427</v>
      </c>
      <c r="D101" s="30">
        <v>1237</v>
      </c>
      <c r="E101" s="30" t="s">
        <v>346</v>
      </c>
      <c r="F101" s="30" t="s">
        <v>377</v>
      </c>
      <c r="G101" s="30" t="s">
        <v>202</v>
      </c>
      <c r="H101" s="30" t="s">
        <v>610</v>
      </c>
      <c r="I101" s="30">
        <v>902835</v>
      </c>
      <c r="J101" s="30"/>
      <c r="K101" s="30" t="s">
        <v>181</v>
      </c>
      <c r="L101" s="64">
        <v>630.12900000000002</v>
      </c>
      <c r="M101" s="143">
        <v>19.573</v>
      </c>
      <c r="N101" s="64">
        <f t="shared" ref="N101:N102" si="22">L101-M101</f>
        <v>610.55600000000004</v>
      </c>
      <c r="O101" s="54">
        <f t="shared" ref="O101:O102" si="23">M101/L101</f>
        <v>3.1061893675739412E-2</v>
      </c>
    </row>
    <row r="102" spans="1:15">
      <c r="A102" s="30" t="s">
        <v>658</v>
      </c>
      <c r="B102" s="30" t="s">
        <v>345</v>
      </c>
      <c r="C102" s="73">
        <v>45427</v>
      </c>
      <c r="D102" s="30">
        <v>1237</v>
      </c>
      <c r="E102" s="30" t="s">
        <v>346</v>
      </c>
      <c r="F102" s="30" t="s">
        <v>377</v>
      </c>
      <c r="G102" s="30" t="s">
        <v>202</v>
      </c>
      <c r="H102" s="30" t="s">
        <v>610</v>
      </c>
      <c r="I102" s="30">
        <v>902835</v>
      </c>
      <c r="J102" s="30"/>
      <c r="K102" s="30" t="s">
        <v>182</v>
      </c>
      <c r="L102" s="64">
        <v>889.17899999999997</v>
      </c>
      <c r="M102" s="143">
        <v>240.28200000000001</v>
      </c>
      <c r="N102" s="64">
        <f t="shared" si="22"/>
        <v>648.89699999999993</v>
      </c>
      <c r="O102" s="54">
        <f t="shared" si="23"/>
        <v>0.27022905399250324</v>
      </c>
    </row>
    <row r="103" spans="1:15">
      <c r="A103" s="30" t="s">
        <v>660</v>
      </c>
      <c r="B103" s="30" t="s">
        <v>345</v>
      </c>
      <c r="C103" s="73">
        <v>45436</v>
      </c>
      <c r="D103" s="30">
        <v>1273</v>
      </c>
      <c r="E103" s="30" t="s">
        <v>661</v>
      </c>
      <c r="F103" s="30" t="s">
        <v>377</v>
      </c>
      <c r="G103" s="30" t="s">
        <v>201</v>
      </c>
      <c r="H103" s="30" t="s">
        <v>601</v>
      </c>
      <c r="I103" s="30">
        <v>965526</v>
      </c>
      <c r="J103" s="30"/>
      <c r="K103" s="30" t="s">
        <v>181</v>
      </c>
      <c r="L103" s="64">
        <v>225</v>
      </c>
      <c r="M103" s="143">
        <v>45.915999999999997</v>
      </c>
      <c r="N103" s="64">
        <f t="shared" ref="N103:N104" si="24">L103-M103</f>
        <v>179.084</v>
      </c>
      <c r="O103" s="54">
        <f t="shared" ref="O103:O104" si="25">M103/L103</f>
        <v>0.20407111111111109</v>
      </c>
    </row>
    <row r="104" spans="1:15">
      <c r="A104" s="30" t="s">
        <v>660</v>
      </c>
      <c r="B104" s="30" t="s">
        <v>345</v>
      </c>
      <c r="C104" s="73">
        <v>45436</v>
      </c>
      <c r="D104" s="30">
        <v>1273</v>
      </c>
      <c r="E104" s="30" t="s">
        <v>661</v>
      </c>
      <c r="F104" s="30" t="s">
        <v>377</v>
      </c>
      <c r="G104" s="30" t="s">
        <v>201</v>
      </c>
      <c r="H104" s="30" t="s">
        <v>601</v>
      </c>
      <c r="I104" s="30">
        <v>965526</v>
      </c>
      <c r="J104" s="30"/>
      <c r="K104" s="30" t="s">
        <v>182</v>
      </c>
      <c r="L104" s="64">
        <v>475</v>
      </c>
      <c r="M104" s="143">
        <v>74.804000000000002</v>
      </c>
      <c r="N104" s="64">
        <f t="shared" si="24"/>
        <v>400.19600000000003</v>
      </c>
      <c r="O104" s="54">
        <f t="shared" si="25"/>
        <v>0.1574821052631579</v>
      </c>
    </row>
    <row r="105" spans="1:15">
      <c r="A105" s="30" t="s">
        <v>451</v>
      </c>
      <c r="B105" s="30" t="s">
        <v>345</v>
      </c>
      <c r="C105" s="73">
        <v>45405</v>
      </c>
      <c r="D105" s="30">
        <v>1030</v>
      </c>
      <c r="E105" s="30" t="s">
        <v>346</v>
      </c>
      <c r="F105" s="30" t="s">
        <v>344</v>
      </c>
      <c r="G105" s="30" t="s">
        <v>202</v>
      </c>
      <c r="H105" s="30" t="s">
        <v>603</v>
      </c>
      <c r="I105" s="30">
        <v>966686</v>
      </c>
      <c r="J105" s="30"/>
      <c r="K105" s="30" t="s">
        <v>181</v>
      </c>
      <c r="L105" s="64">
        <v>190</v>
      </c>
      <c r="M105" s="143"/>
      <c r="N105" s="64">
        <f t="shared" ref="N105:N110" si="26">L105-M105</f>
        <v>190</v>
      </c>
      <c r="O105" s="54">
        <f t="shared" ref="O105:O110" si="27">M105/L105</f>
        <v>0</v>
      </c>
    </row>
    <row r="106" spans="1:15">
      <c r="A106" s="30" t="s">
        <v>451</v>
      </c>
      <c r="B106" s="30" t="s">
        <v>345</v>
      </c>
      <c r="C106" s="73">
        <v>45405</v>
      </c>
      <c r="D106" s="30">
        <v>1030</v>
      </c>
      <c r="E106" s="30" t="s">
        <v>346</v>
      </c>
      <c r="F106" s="30" t="s">
        <v>344</v>
      </c>
      <c r="G106" s="30" t="s">
        <v>202</v>
      </c>
      <c r="H106" s="30" t="s">
        <v>603</v>
      </c>
      <c r="I106" s="30">
        <v>966686</v>
      </c>
      <c r="J106" s="30"/>
      <c r="K106" s="30" t="s">
        <v>182</v>
      </c>
      <c r="L106" s="64">
        <v>280</v>
      </c>
      <c r="M106" s="143"/>
      <c r="N106" s="64">
        <f t="shared" si="26"/>
        <v>280</v>
      </c>
      <c r="O106" s="54">
        <f t="shared" si="27"/>
        <v>0</v>
      </c>
    </row>
    <row r="107" spans="1:15">
      <c r="A107" s="30" t="s">
        <v>451</v>
      </c>
      <c r="B107" s="30" t="s">
        <v>345</v>
      </c>
      <c r="C107" s="73">
        <v>45405</v>
      </c>
      <c r="D107" s="30">
        <v>1030</v>
      </c>
      <c r="E107" s="30" t="s">
        <v>346</v>
      </c>
      <c r="F107" s="30" t="s">
        <v>344</v>
      </c>
      <c r="G107" s="30" t="s">
        <v>202</v>
      </c>
      <c r="H107" s="30" t="s">
        <v>602</v>
      </c>
      <c r="I107" s="30">
        <v>951113</v>
      </c>
      <c r="J107" s="30"/>
      <c r="K107" s="30" t="s">
        <v>181</v>
      </c>
      <c r="L107" s="64">
        <v>190</v>
      </c>
      <c r="M107" s="143"/>
      <c r="N107" s="64">
        <f t="shared" si="26"/>
        <v>190</v>
      </c>
      <c r="O107" s="54">
        <f t="shared" si="27"/>
        <v>0</v>
      </c>
    </row>
    <row r="108" spans="1:15">
      <c r="A108" s="30" t="s">
        <v>451</v>
      </c>
      <c r="B108" s="30" t="s">
        <v>345</v>
      </c>
      <c r="C108" s="73">
        <v>45405</v>
      </c>
      <c r="D108" s="30">
        <v>1030</v>
      </c>
      <c r="E108" s="30" t="s">
        <v>346</v>
      </c>
      <c r="F108" s="30" t="s">
        <v>344</v>
      </c>
      <c r="G108" s="30" t="s">
        <v>202</v>
      </c>
      <c r="H108" s="30" t="s">
        <v>602</v>
      </c>
      <c r="I108" s="30">
        <v>951113</v>
      </c>
      <c r="J108" s="30"/>
      <c r="K108" s="30" t="s">
        <v>182</v>
      </c>
      <c r="L108" s="64">
        <v>280</v>
      </c>
      <c r="M108" s="143"/>
      <c r="N108" s="64">
        <f t="shared" si="26"/>
        <v>280</v>
      </c>
      <c r="O108" s="54">
        <f t="shared" si="27"/>
        <v>0</v>
      </c>
    </row>
    <row r="109" spans="1:15">
      <c r="A109" s="30" t="s">
        <v>451</v>
      </c>
      <c r="B109" s="30" t="s">
        <v>345</v>
      </c>
      <c r="C109" s="73">
        <v>45405</v>
      </c>
      <c r="D109" s="30">
        <v>1030</v>
      </c>
      <c r="E109" s="30" t="s">
        <v>346</v>
      </c>
      <c r="F109" s="30" t="s">
        <v>344</v>
      </c>
      <c r="G109" s="30" t="s">
        <v>202</v>
      </c>
      <c r="H109" s="30" t="s">
        <v>633</v>
      </c>
      <c r="I109" s="30">
        <v>701137</v>
      </c>
      <c r="J109" s="30"/>
      <c r="K109" s="30" t="s">
        <v>181</v>
      </c>
      <c r="L109" s="64">
        <v>190</v>
      </c>
      <c r="M109" s="143"/>
      <c r="N109" s="64">
        <f t="shared" si="26"/>
        <v>190</v>
      </c>
      <c r="O109" s="54">
        <f t="shared" si="27"/>
        <v>0</v>
      </c>
    </row>
    <row r="110" spans="1:15">
      <c r="A110" s="30" t="s">
        <v>451</v>
      </c>
      <c r="B110" s="30" t="s">
        <v>345</v>
      </c>
      <c r="C110" s="73">
        <v>45405</v>
      </c>
      <c r="D110" s="30">
        <v>1030</v>
      </c>
      <c r="E110" s="30" t="s">
        <v>346</v>
      </c>
      <c r="F110" s="30" t="s">
        <v>344</v>
      </c>
      <c r="G110" s="30" t="s">
        <v>202</v>
      </c>
      <c r="H110" s="30" t="s">
        <v>633</v>
      </c>
      <c r="I110" s="30">
        <v>701137</v>
      </c>
      <c r="J110" s="30"/>
      <c r="K110" s="30" t="s">
        <v>182</v>
      </c>
      <c r="L110" s="64">
        <v>280</v>
      </c>
      <c r="M110" s="143"/>
      <c r="N110" s="64">
        <f t="shared" si="26"/>
        <v>280</v>
      </c>
      <c r="O110" s="54">
        <f t="shared" si="27"/>
        <v>0</v>
      </c>
    </row>
    <row r="111" spans="1:15">
      <c r="A111" s="30" t="s">
        <v>541</v>
      </c>
      <c r="B111" s="30" t="s">
        <v>345</v>
      </c>
      <c r="C111" s="73">
        <v>45460</v>
      </c>
      <c r="D111" s="30">
        <v>1432</v>
      </c>
      <c r="E111" s="30" t="s">
        <v>346</v>
      </c>
      <c r="F111" s="30" t="s">
        <v>377</v>
      </c>
      <c r="G111" s="30" t="s">
        <v>202</v>
      </c>
      <c r="H111" s="30" t="s">
        <v>679</v>
      </c>
      <c r="I111" s="30">
        <v>965369</v>
      </c>
      <c r="J111" s="30"/>
      <c r="K111" s="30" t="s">
        <v>181</v>
      </c>
      <c r="L111" s="64">
        <v>100</v>
      </c>
      <c r="M111" s="143">
        <v>26.507999999999999</v>
      </c>
      <c r="N111" s="64">
        <f t="shared" ref="N111:N112" si="28">L111-M111</f>
        <v>73.492000000000004</v>
      </c>
      <c r="O111" s="54">
        <f t="shared" ref="O111:O112" si="29">M111/L111</f>
        <v>0.26507999999999998</v>
      </c>
    </row>
    <row r="112" spans="1:15">
      <c r="A112" s="30" t="s">
        <v>541</v>
      </c>
      <c r="B112" s="30" t="s">
        <v>345</v>
      </c>
      <c r="C112" s="73">
        <v>45460</v>
      </c>
      <c r="D112" s="30">
        <v>1432</v>
      </c>
      <c r="E112" s="30" t="s">
        <v>346</v>
      </c>
      <c r="F112" s="30" t="s">
        <v>377</v>
      </c>
      <c r="G112" s="30" t="s">
        <v>202</v>
      </c>
      <c r="H112" s="30" t="s">
        <v>679</v>
      </c>
      <c r="I112" s="30">
        <v>965369</v>
      </c>
      <c r="J112" s="30"/>
      <c r="K112" s="30" t="s">
        <v>182</v>
      </c>
      <c r="L112" s="64">
        <v>150</v>
      </c>
      <c r="M112" s="143">
        <v>7.0469999999999997</v>
      </c>
      <c r="N112" s="64">
        <f t="shared" si="28"/>
        <v>142.953</v>
      </c>
      <c r="O112" s="54">
        <f t="shared" si="29"/>
        <v>4.6980000000000001E-2</v>
      </c>
    </row>
    <row r="113" spans="1: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143"/>
      <c r="N113" s="30"/>
      <c r="O113" s="30"/>
    </row>
    <row r="114" spans="1: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143"/>
      <c r="N114" s="30"/>
      <c r="O114" s="30"/>
    </row>
    <row r="115" spans="1: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43"/>
      <c r="N115" s="30"/>
      <c r="O115" s="30"/>
    </row>
    <row r="116" spans="1: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143"/>
      <c r="N116" s="30"/>
      <c r="O116" s="30"/>
    </row>
    <row r="117" spans="1: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143"/>
      <c r="N117" s="30"/>
      <c r="O117" s="30"/>
    </row>
    <row r="118" spans="1: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143"/>
      <c r="N118" s="30"/>
      <c r="O118" s="30"/>
    </row>
    <row r="119" spans="1: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143"/>
      <c r="N119" s="30"/>
      <c r="O119" s="30"/>
    </row>
    <row r="120" spans="1: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143"/>
      <c r="N120" s="30"/>
      <c r="O120" s="30"/>
    </row>
    <row r="121" spans="1: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143"/>
      <c r="N121" s="30"/>
      <c r="O121" s="30"/>
    </row>
  </sheetData>
  <autoFilter ref="A3:O112"/>
  <mergeCells count="7">
    <mergeCell ref="B2:O2"/>
    <mergeCell ref="L93:L94"/>
    <mergeCell ref="N93:N94"/>
    <mergeCell ref="O93:O94"/>
    <mergeCell ref="L95:L96"/>
    <mergeCell ref="N95:N96"/>
    <mergeCell ref="O95:O96"/>
  </mergeCells>
  <phoneticPr fontId="3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4"/>
  <sheetViews>
    <sheetView workbookViewId="0">
      <pane ySplit="5" topLeftCell="A6" activePane="bottomLeft" state="frozen"/>
      <selection pane="bottomLeft" activeCell="F18" sqref="F18"/>
    </sheetView>
  </sheetViews>
  <sheetFormatPr baseColWidth="10" defaultRowHeight="15"/>
  <cols>
    <col min="1" max="1" width="11.42578125" style="39"/>
    <col min="2" max="2" width="9.5703125" style="39" bestFit="1" customWidth="1"/>
    <col min="3" max="3" width="19.42578125" style="39" customWidth="1"/>
    <col min="4" max="4" width="9.140625" style="39" customWidth="1"/>
    <col min="5" max="5" width="22.28515625" style="39" hidden="1" customWidth="1"/>
    <col min="6" max="6" width="16.85546875" style="39" customWidth="1"/>
    <col min="7" max="7" width="18.28515625" style="39" customWidth="1"/>
    <col min="8" max="8" width="12.28515625" style="39" customWidth="1"/>
    <col min="9" max="9" width="12.85546875" style="39" customWidth="1"/>
    <col min="10" max="10" width="13.85546875" style="39" customWidth="1"/>
    <col min="11" max="11" width="13.5703125" style="39" customWidth="1"/>
    <col min="12" max="12" width="12.7109375" style="39" customWidth="1"/>
    <col min="13" max="13" width="11.85546875" style="39" customWidth="1"/>
    <col min="14" max="14" width="13.140625" style="39" customWidth="1"/>
    <col min="15" max="16384" width="11.42578125" style="39"/>
  </cols>
  <sheetData>
    <row r="2" spans="2:15">
      <c r="B2" s="224" t="s">
        <v>336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>
      <c r="B3" s="225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5" spans="2:15" s="74" customFormat="1" ht="45">
      <c r="B5" s="72" t="s">
        <v>37</v>
      </c>
      <c r="C5" s="72" t="s">
        <v>34</v>
      </c>
      <c r="D5" s="72" t="s">
        <v>191</v>
      </c>
      <c r="E5" s="72" t="s">
        <v>0</v>
      </c>
      <c r="F5" s="72" t="s">
        <v>286</v>
      </c>
      <c r="G5" s="72" t="s">
        <v>287</v>
      </c>
      <c r="H5" s="72" t="s">
        <v>282</v>
      </c>
      <c r="I5" s="72" t="s">
        <v>264</v>
      </c>
      <c r="J5" s="72" t="s">
        <v>265</v>
      </c>
      <c r="K5" s="72" t="s">
        <v>267</v>
      </c>
      <c r="L5" s="72" t="s">
        <v>266</v>
      </c>
      <c r="M5" s="72" t="s">
        <v>153</v>
      </c>
      <c r="N5" s="72" t="s">
        <v>6</v>
      </c>
      <c r="O5" s="72" t="s">
        <v>36</v>
      </c>
    </row>
    <row r="6" spans="2:15">
      <c r="E6" s="74"/>
    </row>
    <row r="7" spans="2:15">
      <c r="E7" s="74"/>
    </row>
    <row r="8" spans="2:15">
      <c r="E8" s="74"/>
    </row>
    <row r="9" spans="2:15">
      <c r="E9" s="74"/>
    </row>
    <row r="10" spans="2:15">
      <c r="E10" s="74"/>
    </row>
    <row r="11" spans="2:15">
      <c r="E11" s="74"/>
    </row>
    <row r="12" spans="2:15">
      <c r="E12" s="74"/>
    </row>
    <row r="13" spans="2:15">
      <c r="E13" s="74"/>
    </row>
    <row r="14" spans="2:15">
      <c r="E14" s="74"/>
    </row>
    <row r="15" spans="2:15">
      <c r="E15" s="74"/>
    </row>
    <row r="16" spans="2:15">
      <c r="E16" s="74"/>
    </row>
    <row r="17" spans="5:5">
      <c r="E17" s="74"/>
    </row>
    <row r="18" spans="5:5">
      <c r="E18" s="74"/>
    </row>
    <row r="19" spans="5:5">
      <c r="E19" s="74"/>
    </row>
    <row r="20" spans="5:5">
      <c r="E20" s="74"/>
    </row>
    <row r="21" spans="5:5">
      <c r="E21" s="74"/>
    </row>
    <row r="22" spans="5:5">
      <c r="E22" s="74"/>
    </row>
    <row r="23" spans="5:5">
      <c r="E23" s="74"/>
    </row>
    <row r="24" spans="5:5">
      <c r="E24" s="74"/>
    </row>
    <row r="25" spans="5:5">
      <c r="E25" s="74"/>
    </row>
    <row r="26" spans="5:5">
      <c r="E26" s="74"/>
    </row>
    <row r="27" spans="5:5">
      <c r="E27" s="74"/>
    </row>
    <row r="28" spans="5:5">
      <c r="E28" s="74"/>
    </row>
    <row r="29" spans="5:5">
      <c r="E29" s="74"/>
    </row>
    <row r="30" spans="5:5">
      <c r="E30" s="74"/>
    </row>
    <row r="31" spans="5:5">
      <c r="E31" s="74"/>
    </row>
    <row r="32" spans="5:5">
      <c r="E32" s="74"/>
    </row>
    <row r="33" spans="5:5">
      <c r="E33" s="74"/>
    </row>
    <row r="34" spans="5:5">
      <c r="E34" s="74"/>
    </row>
    <row r="35" spans="5:5">
      <c r="E35" s="74"/>
    </row>
    <row r="36" spans="5:5">
      <c r="E36" s="74"/>
    </row>
    <row r="37" spans="5:5">
      <c r="E37" s="74"/>
    </row>
    <row r="38" spans="5:5">
      <c r="E38" s="74"/>
    </row>
    <row r="39" spans="5:5">
      <c r="E39" s="74"/>
    </row>
    <row r="40" spans="5:5">
      <c r="E40" s="74"/>
    </row>
    <row r="41" spans="5:5">
      <c r="E41" s="74"/>
    </row>
    <row r="42" spans="5:5">
      <c r="E42" s="74"/>
    </row>
    <row r="43" spans="5:5">
      <c r="E43" s="74"/>
    </row>
    <row r="44" spans="5:5">
      <c r="E44" s="74"/>
    </row>
    <row r="45" spans="5:5">
      <c r="E45" s="74"/>
    </row>
    <row r="46" spans="5:5">
      <c r="E46" s="74"/>
    </row>
    <row r="47" spans="5:5">
      <c r="E47" s="74"/>
    </row>
    <row r="48" spans="5:5">
      <c r="E48" s="74"/>
    </row>
    <row r="49" spans="5:5">
      <c r="E49" s="74"/>
    </row>
    <row r="50" spans="5:5">
      <c r="E50" s="74"/>
    </row>
    <row r="51" spans="5:5">
      <c r="E51" s="74"/>
    </row>
    <row r="52" spans="5:5">
      <c r="E52" s="74"/>
    </row>
    <row r="53" spans="5:5">
      <c r="E53" s="74"/>
    </row>
    <row r="54" spans="5:5">
      <c r="E54" s="74"/>
    </row>
    <row r="55" spans="5:5">
      <c r="E55" s="74"/>
    </row>
    <row r="56" spans="5:5">
      <c r="E56" s="74"/>
    </row>
    <row r="57" spans="5:5">
      <c r="E57" s="74"/>
    </row>
    <row r="58" spans="5:5">
      <c r="E58" s="74"/>
    </row>
    <row r="59" spans="5:5">
      <c r="E59" s="74"/>
    </row>
    <row r="60" spans="5:5">
      <c r="E60" s="74"/>
    </row>
    <row r="61" spans="5:5">
      <c r="E61" s="74"/>
    </row>
    <row r="62" spans="5:5">
      <c r="E62" s="74"/>
    </row>
    <row r="63" spans="5:5">
      <c r="E63" s="74"/>
    </row>
    <row r="64" spans="5:5">
      <c r="E64" s="74"/>
    </row>
    <row r="65" spans="5:5">
      <c r="E65" s="74"/>
    </row>
    <row r="66" spans="5:5">
      <c r="E66" s="74"/>
    </row>
    <row r="67" spans="5:5">
      <c r="E67" s="74"/>
    </row>
    <row r="68" spans="5:5">
      <c r="E68" s="74"/>
    </row>
    <row r="69" spans="5:5">
      <c r="E69" s="74"/>
    </row>
    <row r="70" spans="5:5">
      <c r="E70" s="74"/>
    </row>
    <row r="71" spans="5:5">
      <c r="E71" s="74"/>
    </row>
    <row r="72" spans="5:5">
      <c r="E72" s="74"/>
    </row>
    <row r="73" spans="5:5">
      <c r="E73" s="74"/>
    </row>
    <row r="74" spans="5:5">
      <c r="E74" s="74"/>
    </row>
    <row r="75" spans="5:5">
      <c r="E75" s="74"/>
    </row>
    <row r="76" spans="5:5">
      <c r="E76" s="74"/>
    </row>
    <row r="77" spans="5:5">
      <c r="E77" s="74"/>
    </row>
    <row r="78" spans="5:5">
      <c r="E78" s="74"/>
    </row>
    <row r="79" spans="5:5">
      <c r="E79" s="74"/>
    </row>
    <row r="80" spans="5:5">
      <c r="E80" s="74"/>
    </row>
    <row r="81" spans="5:5">
      <c r="E81" s="74"/>
    </row>
    <row r="82" spans="5:5">
      <c r="E82" s="74"/>
    </row>
    <row r="83" spans="5:5">
      <c r="E83" s="74"/>
    </row>
    <row r="84" spans="5:5">
      <c r="E84" s="74"/>
    </row>
  </sheetData>
  <mergeCells count="2">
    <mergeCell ref="B2:O2"/>
    <mergeCell ref="B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4"/>
  <sheetViews>
    <sheetView workbookViewId="0">
      <selection activeCell="E9" sqref="E9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7" max="7" width="15.85546875" customWidth="1"/>
  </cols>
  <sheetData>
    <row r="2" spans="3:10">
      <c r="C2" s="39"/>
      <c r="D2" s="197" t="s">
        <v>337</v>
      </c>
      <c r="E2" s="197"/>
      <c r="F2" s="197"/>
      <c r="G2" s="197"/>
      <c r="H2" s="197"/>
      <c r="I2" s="197"/>
      <c r="J2" s="39"/>
    </row>
    <row r="3" spans="3:10">
      <c r="C3" s="39"/>
      <c r="D3" s="226"/>
      <c r="E3" s="227"/>
      <c r="F3" s="227"/>
      <c r="G3" s="227"/>
      <c r="H3" s="227"/>
      <c r="I3" s="227"/>
      <c r="J3" s="39"/>
    </row>
    <row r="4" spans="3:10">
      <c r="C4" s="50" t="s">
        <v>244</v>
      </c>
      <c r="D4" s="50" t="s">
        <v>245</v>
      </c>
      <c r="E4" s="50" t="s">
        <v>191</v>
      </c>
      <c r="F4" s="50" t="s">
        <v>45</v>
      </c>
      <c r="G4" s="50" t="s">
        <v>180</v>
      </c>
      <c r="H4" s="50" t="s">
        <v>246</v>
      </c>
      <c r="I4" s="50" t="s">
        <v>133</v>
      </c>
      <c r="J4" s="50" t="s">
        <v>134</v>
      </c>
    </row>
  </sheetData>
  <mergeCells count="2">
    <mergeCell ref="D3:I3"/>
    <mergeCell ref="D2:I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="90" zoomScaleNormal="90" workbookViewId="0">
      <selection activeCell="M25" sqref="M25"/>
    </sheetView>
  </sheetViews>
  <sheetFormatPr baseColWidth="10" defaultRowHeight="15"/>
  <cols>
    <col min="1" max="1" width="16.5703125" customWidth="1"/>
    <col min="2" max="2" width="11.7109375" customWidth="1"/>
    <col min="3" max="3" width="5.85546875" customWidth="1"/>
    <col min="4" max="4" width="13.7109375" customWidth="1"/>
    <col min="5" max="5" width="68.85546875" customWidth="1"/>
    <col min="6" max="6" width="11.42578125" customWidth="1"/>
    <col min="7" max="7" width="12.140625" customWidth="1"/>
    <col min="8" max="8" width="15.42578125" customWidth="1"/>
    <col min="9" max="10" width="13.42578125" customWidth="1"/>
    <col min="11" max="11" width="12.5703125" customWidth="1"/>
    <col min="14" max="14" width="13.85546875" style="39" customWidth="1"/>
    <col min="15" max="15" width="12.5703125" customWidth="1"/>
  </cols>
  <sheetData>
    <row r="1" spans="1:17">
      <c r="A1" s="49" t="s">
        <v>204</v>
      </c>
      <c r="B1" s="49" t="s">
        <v>180</v>
      </c>
      <c r="C1" s="49" t="s">
        <v>205</v>
      </c>
      <c r="D1" s="49" t="s">
        <v>206</v>
      </c>
      <c r="E1" s="49" t="s">
        <v>207</v>
      </c>
      <c r="F1" s="49" t="s">
        <v>208</v>
      </c>
      <c r="G1" s="49" t="s">
        <v>209</v>
      </c>
      <c r="H1" s="49" t="s">
        <v>210</v>
      </c>
      <c r="I1" s="49" t="s">
        <v>211</v>
      </c>
      <c r="J1" s="49" t="s">
        <v>212</v>
      </c>
      <c r="K1" s="49" t="s">
        <v>133</v>
      </c>
      <c r="L1" s="49" t="s">
        <v>134</v>
      </c>
      <c r="M1" s="49" t="s">
        <v>213</v>
      </c>
      <c r="N1" s="103" t="s">
        <v>36</v>
      </c>
      <c r="O1" s="49" t="s">
        <v>214</v>
      </c>
      <c r="P1" s="49" t="s">
        <v>215</v>
      </c>
      <c r="Q1" s="49" t="s">
        <v>216</v>
      </c>
    </row>
    <row r="2" spans="1:17">
      <c r="A2" t="s">
        <v>217</v>
      </c>
      <c r="B2" t="s">
        <v>181</v>
      </c>
      <c r="C2" t="s">
        <v>219</v>
      </c>
      <c r="D2" t="s">
        <v>220</v>
      </c>
      <c r="E2" t="str">
        <f>'Anchov y SardC LTP'!D7</f>
        <v>AL SUR DE LA ISLA LIMITADA SOC. PESQ.</v>
      </c>
      <c r="F2" s="28">
        <v>45292</v>
      </c>
      <c r="G2" s="28">
        <v>45657</v>
      </c>
      <c r="H2">
        <f>'Anchov y SardC LTP'!G7</f>
        <v>149.13249999999999</v>
      </c>
      <c r="I2">
        <f>'Anchov y SardC LTP'!H7</f>
        <v>0</v>
      </c>
      <c r="J2">
        <f>'Anchov y SardC LTP'!I7</f>
        <v>149.13249999999999</v>
      </c>
      <c r="K2">
        <f>'Anchov y SardC LTP'!J7</f>
        <v>0</v>
      </c>
      <c r="L2">
        <f>'Anchov y SardC LTP'!K7</f>
        <v>149.13249999999999</v>
      </c>
      <c r="M2" s="33">
        <f>'Anchov y SardC LTP'!L7</f>
        <v>0</v>
      </c>
      <c r="N2" s="68" t="s">
        <v>242</v>
      </c>
      <c r="O2" s="28">
        <f>RESUMEN!$B$3</f>
        <v>45483</v>
      </c>
      <c r="P2">
        <v>2024</v>
      </c>
    </row>
    <row r="3" spans="1:17">
      <c r="A3" t="s">
        <v>217</v>
      </c>
      <c r="B3" t="s">
        <v>181</v>
      </c>
      <c r="C3" t="s">
        <v>219</v>
      </c>
      <c r="D3" t="s">
        <v>220</v>
      </c>
      <c r="E3" t="str">
        <f>'Anchov y SardC LTP'!D8</f>
        <v>ALIMENTOS MARINOS S.A.</v>
      </c>
      <c r="F3" s="28">
        <v>45292</v>
      </c>
      <c r="G3" s="28">
        <v>45657</v>
      </c>
      <c r="H3">
        <f>'Anchov y SardC LTP'!G8</f>
        <v>11270.4977979</v>
      </c>
      <c r="I3">
        <f>'Anchov y SardC LTP'!H8</f>
        <v>-6326.85</v>
      </c>
      <c r="J3">
        <f>'Anchov y SardC LTP'!I8</f>
        <v>4943.6477978999992</v>
      </c>
      <c r="K3">
        <f>'Anchov y SardC LTP'!J8</f>
        <v>0</v>
      </c>
      <c r="L3">
        <f>'Anchov y SardC LTP'!K8</f>
        <v>4943.6477978999992</v>
      </c>
      <c r="M3" s="33">
        <f>'Anchov y SardC LTP'!L8</f>
        <v>0.56136384687274987</v>
      </c>
      <c r="N3" s="68" t="s">
        <v>242</v>
      </c>
      <c r="O3" s="28">
        <f>RESUMEN!$B$3</f>
        <v>45483</v>
      </c>
      <c r="P3">
        <v>2024</v>
      </c>
    </row>
    <row r="4" spans="1:17">
      <c r="A4" t="s">
        <v>217</v>
      </c>
      <c r="B4" t="s">
        <v>181</v>
      </c>
      <c r="C4" t="s">
        <v>219</v>
      </c>
      <c r="D4" t="s">
        <v>220</v>
      </c>
      <c r="E4" t="str">
        <f>'Anchov y SardC LTP'!D9</f>
        <v>BELTRAN AQUEVEDO JOSE</v>
      </c>
      <c r="F4" s="28">
        <v>45292</v>
      </c>
      <c r="G4" s="28">
        <v>45657</v>
      </c>
      <c r="H4">
        <f>'Anchov y SardC LTP'!G9</f>
        <v>835.14200000000005</v>
      </c>
      <c r="I4">
        <f>'Anchov y SardC LTP'!H9</f>
        <v>-650.93200000000002</v>
      </c>
      <c r="J4">
        <f>'Anchov y SardC LTP'!I9</f>
        <v>184.21000000000004</v>
      </c>
      <c r="K4">
        <f>'Anchov y SardC LTP'!J9</f>
        <v>0</v>
      </c>
      <c r="L4">
        <f>'Anchov y SardC LTP'!K9</f>
        <v>184.21000000000004</v>
      </c>
      <c r="M4" s="33">
        <f>'Anchov y SardC LTP'!L9</f>
        <v>0.77942673222038883</v>
      </c>
      <c r="N4" s="68" t="s">
        <v>242</v>
      </c>
      <c r="O4" s="28">
        <f>RESUMEN!$B$3</f>
        <v>45483</v>
      </c>
      <c r="P4">
        <v>2024</v>
      </c>
    </row>
    <row r="5" spans="1:17">
      <c r="A5" t="s">
        <v>217</v>
      </c>
      <c r="B5" t="s">
        <v>181</v>
      </c>
      <c r="C5" t="s">
        <v>219</v>
      </c>
      <c r="D5" t="s">
        <v>220</v>
      </c>
      <c r="E5" t="str">
        <f>'Anchov y SardC LTP'!D10</f>
        <v>BLUMAR S.A.</v>
      </c>
      <c r="F5" s="28">
        <v>45292</v>
      </c>
      <c r="G5" s="28">
        <v>45657</v>
      </c>
      <c r="H5">
        <f>'Anchov y SardC LTP'!G10</f>
        <v>11921.7952172</v>
      </c>
      <c r="I5">
        <f>'Anchov y SardC LTP'!H10</f>
        <v>-8398</v>
      </c>
      <c r="J5">
        <f>'Anchov y SardC LTP'!I10</f>
        <v>3523.7952172000005</v>
      </c>
      <c r="K5">
        <f>'Anchov y SardC LTP'!J10</f>
        <v>0</v>
      </c>
      <c r="L5">
        <f>'Anchov y SardC LTP'!K10</f>
        <v>3523.7952172000005</v>
      </c>
      <c r="M5" s="33">
        <f>'Anchov y SardC LTP'!L10</f>
        <v>0.70442411121807436</v>
      </c>
      <c r="N5" s="68" t="s">
        <v>242</v>
      </c>
      <c r="O5" s="28">
        <f>RESUMEN!$B$3</f>
        <v>45483</v>
      </c>
      <c r="P5">
        <v>2024</v>
      </c>
    </row>
    <row r="6" spans="1:17">
      <c r="A6" t="s">
        <v>217</v>
      </c>
      <c r="B6" t="s">
        <v>181</v>
      </c>
      <c r="C6" t="s">
        <v>219</v>
      </c>
      <c r="D6" t="s">
        <v>220</v>
      </c>
      <c r="E6" t="str">
        <f>'Anchov y SardC LTP'!D11</f>
        <v>CAMANCHACA PESCA SUR S.A.</v>
      </c>
      <c r="F6" s="28">
        <v>45292</v>
      </c>
      <c r="G6" s="28">
        <v>45657</v>
      </c>
      <c r="H6">
        <f>'Anchov y SardC LTP'!G11</f>
        <v>9436.185943800001</v>
      </c>
      <c r="I6">
        <f>'Anchov y SardC LTP'!H11</f>
        <v>-5501.8230000000003</v>
      </c>
      <c r="J6">
        <f>'Anchov y SardC LTP'!I11</f>
        <v>3934.3629438000007</v>
      </c>
      <c r="K6">
        <f>'Anchov y SardC LTP'!J11</f>
        <v>245.11699999999999</v>
      </c>
      <c r="L6">
        <f>'Anchov y SardC LTP'!K11</f>
        <v>3689.2459438000005</v>
      </c>
      <c r="M6" s="33">
        <f>'Anchov y SardC LTP'!L11</f>
        <v>6.2301572961454839E-2</v>
      </c>
      <c r="N6" s="68" t="s">
        <v>242</v>
      </c>
      <c r="O6" s="28">
        <f>RESUMEN!$B$3</f>
        <v>45483</v>
      </c>
      <c r="P6">
        <v>2024</v>
      </c>
    </row>
    <row r="7" spans="1:17">
      <c r="A7" t="s">
        <v>217</v>
      </c>
      <c r="B7" t="s">
        <v>181</v>
      </c>
      <c r="C7" t="s">
        <v>219</v>
      </c>
      <c r="D7" t="s">
        <v>220</v>
      </c>
      <c r="E7" t="str">
        <f>'Anchov y SardC LTP'!D12</f>
        <v>FOODCORP CHILE S.A.</v>
      </c>
      <c r="F7" s="28">
        <v>45292</v>
      </c>
      <c r="G7" s="28">
        <v>45657</v>
      </c>
      <c r="H7">
        <f>'Anchov y SardC LTP'!G12</f>
        <v>1634.2356920999998</v>
      </c>
      <c r="I7">
        <f>'Anchov y SardC LTP'!H12</f>
        <v>-1065</v>
      </c>
      <c r="J7">
        <f>'Anchov y SardC LTP'!I12</f>
        <v>569.23569209999982</v>
      </c>
      <c r="K7">
        <f>'Anchov y SardC LTP'!J12</f>
        <v>0</v>
      </c>
      <c r="L7">
        <f>'Anchov y SardC LTP'!K12</f>
        <v>569.23569209999982</v>
      </c>
      <c r="M7" s="33">
        <f>'Anchov y SardC LTP'!L12</f>
        <v>0.65168078579379851</v>
      </c>
      <c r="N7" s="68" t="s">
        <v>242</v>
      </c>
      <c r="O7" s="28">
        <f>RESUMEN!$B$3</f>
        <v>45483</v>
      </c>
      <c r="P7">
        <v>2024</v>
      </c>
    </row>
    <row r="8" spans="1:17">
      <c r="A8" t="s">
        <v>217</v>
      </c>
      <c r="B8" t="s">
        <v>181</v>
      </c>
      <c r="C8" t="s">
        <v>219</v>
      </c>
      <c r="D8" t="s">
        <v>220</v>
      </c>
      <c r="E8" t="str">
        <f>'Anchov y SardC LTP'!D13</f>
        <v>GAJARDO PALMA SANDRA</v>
      </c>
      <c r="F8" s="28">
        <v>45292</v>
      </c>
      <c r="G8" s="28">
        <v>45657</v>
      </c>
      <c r="H8">
        <f>'Anchov y SardC LTP'!G13</f>
        <v>238.61199999999999</v>
      </c>
      <c r="I8">
        <f>'Anchov y SardC LTP'!H13</f>
        <v>0</v>
      </c>
      <c r="J8">
        <f>'Anchov y SardC LTP'!I13</f>
        <v>238.61199999999999</v>
      </c>
      <c r="K8">
        <f>'Anchov y SardC LTP'!J13</f>
        <v>0</v>
      </c>
      <c r="L8">
        <f>'Anchov y SardC LTP'!K13</f>
        <v>238.61199999999999</v>
      </c>
      <c r="M8" s="33">
        <f>'Anchov y SardC LTP'!L13</f>
        <v>0</v>
      </c>
      <c r="N8" s="68" t="s">
        <v>242</v>
      </c>
      <c r="O8" s="28">
        <f>RESUMEN!$B$3</f>
        <v>45483</v>
      </c>
      <c r="P8">
        <v>2024</v>
      </c>
    </row>
    <row r="9" spans="1:17">
      <c r="A9" t="s">
        <v>217</v>
      </c>
      <c r="B9" t="s">
        <v>181</v>
      </c>
      <c r="C9" t="s">
        <v>219</v>
      </c>
      <c r="D9" t="s">
        <v>220</v>
      </c>
      <c r="E9" t="str">
        <f>'Anchov y SardC LTP'!D14</f>
        <v>GENMAR LTDA. SOC. PESQ.</v>
      </c>
      <c r="F9" s="28">
        <v>45292</v>
      </c>
      <c r="G9" s="28">
        <v>45657</v>
      </c>
      <c r="H9">
        <f>'Anchov y SardC LTP'!G14</f>
        <v>14.91325</v>
      </c>
      <c r="I9">
        <f>'Anchov y SardC LTP'!H14</f>
        <v>0</v>
      </c>
      <c r="J9">
        <f>'Anchov y SardC LTP'!I14</f>
        <v>14.91325</v>
      </c>
      <c r="K9">
        <f>'Anchov y SardC LTP'!J14</f>
        <v>0</v>
      </c>
      <c r="L9">
        <f>'Anchov y SardC LTP'!K14</f>
        <v>14.91325</v>
      </c>
      <c r="M9" s="33">
        <f>'Anchov y SardC LTP'!L14</f>
        <v>0</v>
      </c>
      <c r="N9" s="68" t="s">
        <v>242</v>
      </c>
      <c r="O9" s="28">
        <f>RESUMEN!$B$3</f>
        <v>45483</v>
      </c>
      <c r="P9">
        <v>2024</v>
      </c>
    </row>
    <row r="10" spans="1:17">
      <c r="A10" t="s">
        <v>217</v>
      </c>
      <c r="B10" t="s">
        <v>181</v>
      </c>
      <c r="C10" t="s">
        <v>219</v>
      </c>
      <c r="D10" t="s">
        <v>220</v>
      </c>
      <c r="E10" t="str">
        <f>'Anchov y SardC LTP'!D15</f>
        <v>INOSTROZA CONCHA PELANTARO</v>
      </c>
      <c r="F10" s="28">
        <v>45292</v>
      </c>
      <c r="G10" s="28">
        <v>45657</v>
      </c>
      <c r="H10">
        <f>'Anchov y SardC LTP'!G15</f>
        <v>47.125869999999999</v>
      </c>
      <c r="I10">
        <f>'Anchov y SardC LTP'!H15</f>
        <v>0</v>
      </c>
      <c r="J10">
        <f>'Anchov y SardC LTP'!I15</f>
        <v>47.125869999999999</v>
      </c>
      <c r="K10">
        <f>'Anchov y SardC LTP'!J15</f>
        <v>0</v>
      </c>
      <c r="L10">
        <f>'Anchov y SardC LTP'!K15</f>
        <v>47.125869999999999</v>
      </c>
      <c r="M10" s="33">
        <f>'Anchov y SardC LTP'!L15</f>
        <v>0</v>
      </c>
      <c r="N10" s="68" t="s">
        <v>242</v>
      </c>
      <c r="O10" s="28">
        <f>RESUMEN!$B$3</f>
        <v>45483</v>
      </c>
      <c r="P10">
        <v>2024</v>
      </c>
    </row>
    <row r="11" spans="1:17">
      <c r="A11" t="s">
        <v>217</v>
      </c>
      <c r="B11" t="s">
        <v>181</v>
      </c>
      <c r="C11" t="s">
        <v>219</v>
      </c>
      <c r="D11" t="s">
        <v>220</v>
      </c>
      <c r="E11" t="str">
        <f>'Anchov y SardC LTP'!D16</f>
        <v>ISLA QUIHUA S.A. PESQ</v>
      </c>
      <c r="F11" s="28">
        <v>45292</v>
      </c>
      <c r="G11" s="28">
        <v>45657</v>
      </c>
      <c r="H11">
        <f>'Anchov y SardC LTP'!G16</f>
        <v>0.81128080000000002</v>
      </c>
      <c r="I11">
        <f>'Anchov y SardC LTP'!H16</f>
        <v>0</v>
      </c>
      <c r="J11">
        <f>'Anchov y SardC LTP'!I16</f>
        <v>0.81128080000000002</v>
      </c>
      <c r="K11">
        <f>'Anchov y SardC LTP'!J16</f>
        <v>0</v>
      </c>
      <c r="L11">
        <f>'Anchov y SardC LTP'!K16</f>
        <v>0.81128080000000002</v>
      </c>
      <c r="M11" s="33">
        <f>'Anchov y SardC LTP'!L16</f>
        <v>0</v>
      </c>
      <c r="N11" s="68" t="s">
        <v>242</v>
      </c>
      <c r="O11" s="28">
        <f>RESUMEN!$B$3</f>
        <v>45483</v>
      </c>
      <c r="P11">
        <v>2024</v>
      </c>
    </row>
    <row r="12" spans="1:17">
      <c r="A12" t="s">
        <v>217</v>
      </c>
      <c r="B12" t="s">
        <v>181</v>
      </c>
      <c r="C12" t="s">
        <v>219</v>
      </c>
      <c r="D12" t="s">
        <v>220</v>
      </c>
      <c r="E12" t="str">
        <f>'Anchov y SardC LTP'!D17</f>
        <v>LANDES S.A. SOC PESQ.</v>
      </c>
      <c r="F12" s="28">
        <v>45292</v>
      </c>
      <c r="G12" s="28">
        <v>45657</v>
      </c>
      <c r="H12">
        <f>'Anchov y SardC LTP'!G17</f>
        <v>3550.4391845999999</v>
      </c>
      <c r="I12">
        <f>'Anchov y SardC LTP'!H17</f>
        <v>-1829.2370000000001</v>
      </c>
      <c r="J12">
        <f>'Anchov y SardC LTP'!I17</f>
        <v>1721.2021845999998</v>
      </c>
      <c r="K12">
        <f>'Anchov y SardC LTP'!J17</f>
        <v>0</v>
      </c>
      <c r="L12">
        <f>'Anchov y SardC LTP'!K17</f>
        <v>1721.2021845999998</v>
      </c>
      <c r="M12" s="33">
        <f>'Anchov y SardC LTP'!L17</f>
        <v>0.51521428896298249</v>
      </c>
      <c r="N12" s="68" t="s">
        <v>242</v>
      </c>
      <c r="O12" s="28">
        <f>RESUMEN!$B$3</f>
        <v>45483</v>
      </c>
      <c r="P12">
        <v>2024</v>
      </c>
    </row>
    <row r="13" spans="1:17">
      <c r="A13" t="s">
        <v>217</v>
      </c>
      <c r="B13" t="s">
        <v>181</v>
      </c>
      <c r="C13" t="s">
        <v>219</v>
      </c>
      <c r="D13" t="s">
        <v>220</v>
      </c>
      <c r="E13" t="str">
        <f>'Anchov y SardC LTP'!D18</f>
        <v>LEPE ROBLES ALFONSO</v>
      </c>
      <c r="F13" s="28">
        <v>45292</v>
      </c>
      <c r="G13" s="28">
        <v>45657</v>
      </c>
      <c r="H13">
        <f>'Anchov y SardC LTP'!G18</f>
        <v>298.26499999999999</v>
      </c>
      <c r="I13">
        <f>'Anchov y SardC LTP'!H18</f>
        <v>-232.435</v>
      </c>
      <c r="J13">
        <f>'Anchov y SardC LTP'!I18</f>
        <v>65.829999999999984</v>
      </c>
      <c r="K13">
        <f>'Anchov y SardC LTP'!J18</f>
        <v>0</v>
      </c>
      <c r="L13">
        <f>'Anchov y SardC LTP'!K18</f>
        <v>65.829999999999984</v>
      </c>
      <c r="M13" s="33">
        <f>'Anchov y SardC LTP'!L18</f>
        <v>0.77929022848808949</v>
      </c>
      <c r="N13" s="68" t="s">
        <v>242</v>
      </c>
      <c r="O13" s="28">
        <f>RESUMEN!$B$3</f>
        <v>45483</v>
      </c>
      <c r="P13">
        <v>2024</v>
      </c>
    </row>
    <row r="14" spans="1:17">
      <c r="A14" t="s">
        <v>217</v>
      </c>
      <c r="B14" t="s">
        <v>181</v>
      </c>
      <c r="C14" t="s">
        <v>219</v>
      </c>
      <c r="D14" t="s">
        <v>220</v>
      </c>
      <c r="E14" t="str">
        <f>'Anchov y SardC LTP'!D19</f>
        <v>LITORAL SpA PESQ.</v>
      </c>
      <c r="F14" s="28">
        <v>45292</v>
      </c>
      <c r="G14" s="28">
        <v>45657</v>
      </c>
      <c r="H14">
        <f>'Anchov y SardC LTP'!G19</f>
        <v>1326.9988808999999</v>
      </c>
      <c r="I14">
        <f>'Anchov y SardC LTP'!H19</f>
        <v>0</v>
      </c>
      <c r="J14">
        <f>'Anchov y SardC LTP'!I19</f>
        <v>1326.9988808999999</v>
      </c>
      <c r="K14">
        <f>'Anchov y SardC LTP'!J19</f>
        <v>0</v>
      </c>
      <c r="L14">
        <f>'Anchov y SardC LTP'!K19</f>
        <v>1326.9988808999999</v>
      </c>
      <c r="M14" s="33">
        <f>'Anchov y SardC LTP'!L19</f>
        <v>0</v>
      </c>
      <c r="N14" s="68" t="s">
        <v>242</v>
      </c>
      <c r="O14" s="28">
        <f>RESUMEN!$B$3</f>
        <v>45483</v>
      </c>
      <c r="P14">
        <v>2024</v>
      </c>
    </row>
    <row r="15" spans="1:17">
      <c r="A15" t="s">
        <v>217</v>
      </c>
      <c r="B15" t="s">
        <v>181</v>
      </c>
      <c r="C15" t="s">
        <v>219</v>
      </c>
      <c r="D15" t="s">
        <v>220</v>
      </c>
      <c r="E15" t="str">
        <f>'Anchov y SardC LTP'!D20</f>
        <v>LOTA PROTEIN S.A.</v>
      </c>
      <c r="F15" s="28">
        <v>45292</v>
      </c>
      <c r="G15" s="28">
        <v>45657</v>
      </c>
      <c r="H15">
        <f>'Anchov y SardC LTP'!G20</f>
        <v>764.25634009999999</v>
      </c>
      <c r="I15">
        <f>'Anchov y SardC LTP'!H20</f>
        <v>-520</v>
      </c>
      <c r="J15">
        <f>'Anchov y SardC LTP'!I20</f>
        <v>244.25634009999999</v>
      </c>
      <c r="K15">
        <f>'Anchov y SardC LTP'!J20</f>
        <v>0</v>
      </c>
      <c r="L15">
        <f>'Anchov y SardC LTP'!K20</f>
        <v>244.25634009999999</v>
      </c>
      <c r="M15" s="33">
        <f>'Anchov y SardC LTP'!L20</f>
        <v>0</v>
      </c>
      <c r="N15" s="68" t="s">
        <v>242</v>
      </c>
      <c r="O15" s="28">
        <f>RESUMEN!$B$3</f>
        <v>45483</v>
      </c>
      <c r="P15">
        <v>2024</v>
      </c>
    </row>
    <row r="16" spans="1:17">
      <c r="A16" t="s">
        <v>217</v>
      </c>
      <c r="B16" t="s">
        <v>181</v>
      </c>
      <c r="C16" t="s">
        <v>219</v>
      </c>
      <c r="D16" t="s">
        <v>220</v>
      </c>
      <c r="E16" t="str">
        <f>'Anchov y SardC LTP'!D21</f>
        <v>MONSALVE CISTERNAS GABRIELA</v>
      </c>
      <c r="F16" s="28">
        <v>45292</v>
      </c>
      <c r="G16" s="28">
        <v>45657</v>
      </c>
      <c r="H16">
        <f>'Anchov y SardC LTP'!G21</f>
        <v>596.53</v>
      </c>
      <c r="I16">
        <f>'Anchov y SardC LTP'!H21</f>
        <v>-464.952</v>
      </c>
      <c r="J16">
        <f>'Anchov y SardC LTP'!I21</f>
        <v>131.57799999999997</v>
      </c>
      <c r="K16">
        <f>'Anchov y SardC LTP'!J21</f>
        <v>0</v>
      </c>
      <c r="L16">
        <f>'Anchov y SardC LTP'!K21</f>
        <v>131.57799999999997</v>
      </c>
      <c r="M16" s="33">
        <f>'Anchov y SardC LTP'!L21</f>
        <v>0.7794276901413173</v>
      </c>
      <c r="N16" s="68" t="s">
        <v>242</v>
      </c>
      <c r="O16" s="28">
        <f>RESUMEN!$B$3</f>
        <v>45483</v>
      </c>
      <c r="P16">
        <v>2024</v>
      </c>
    </row>
    <row r="17" spans="1:16">
      <c r="A17" t="s">
        <v>217</v>
      </c>
      <c r="B17" t="s">
        <v>181</v>
      </c>
      <c r="C17" t="s">
        <v>219</v>
      </c>
      <c r="D17" t="s">
        <v>220</v>
      </c>
      <c r="E17" t="str">
        <f>'Anchov y SardC LTP'!D22</f>
        <v>MONSALVE CISTERNAS RAUL</v>
      </c>
      <c r="F17" s="28">
        <v>45292</v>
      </c>
      <c r="G17" s="28">
        <v>45657</v>
      </c>
      <c r="H17">
        <f>'Anchov y SardC LTP'!G22</f>
        <v>238.61199999999999</v>
      </c>
      <c r="I17">
        <f>'Anchov y SardC LTP'!H22</f>
        <v>-238.61199999999999</v>
      </c>
      <c r="J17">
        <f>'Anchov y SardC LTP'!I22</f>
        <v>0</v>
      </c>
      <c r="K17">
        <f>'Anchov y SardC LTP'!J22</f>
        <v>0</v>
      </c>
      <c r="L17">
        <f>'Anchov y SardC LTP'!K22</f>
        <v>0</v>
      </c>
      <c r="M17" s="33">
        <f>'Anchov y SardC LTP'!L22</f>
        <v>1</v>
      </c>
      <c r="N17" s="68" t="s">
        <v>242</v>
      </c>
      <c r="O17" s="28">
        <f>RESUMEN!$B$3</f>
        <v>45483</v>
      </c>
      <c r="P17">
        <v>2024</v>
      </c>
    </row>
    <row r="18" spans="1:16">
      <c r="A18" t="s">
        <v>217</v>
      </c>
      <c r="B18" t="s">
        <v>181</v>
      </c>
      <c r="C18" t="s">
        <v>219</v>
      </c>
      <c r="D18" t="s">
        <v>220</v>
      </c>
      <c r="E18" t="str">
        <f>'Anchov y SardC LTP'!D23</f>
        <v>NOVAMAR SpA</v>
      </c>
      <c r="F18" s="28">
        <v>45292</v>
      </c>
      <c r="G18" s="28">
        <v>45657</v>
      </c>
      <c r="H18">
        <f>'Anchov y SardC LTP'!G23</f>
        <v>743.32410240000002</v>
      </c>
      <c r="I18">
        <f>'Anchov y SardC LTP'!H23</f>
        <v>-500.48899999999998</v>
      </c>
      <c r="J18">
        <f>'Anchov y SardC LTP'!I23</f>
        <v>242.83510240000004</v>
      </c>
      <c r="K18">
        <f>'Anchov y SardC LTP'!J23</f>
        <v>0</v>
      </c>
      <c r="L18">
        <f>'Anchov y SardC LTP'!K23</f>
        <v>242.83510240000004</v>
      </c>
      <c r="M18" s="33">
        <f>'Anchov y SardC LTP'!L23</f>
        <v>0.67331194883100287</v>
      </c>
      <c r="N18" s="68" t="s">
        <v>263</v>
      </c>
      <c r="O18" s="28">
        <f>RESUMEN!$B$3</f>
        <v>45483</v>
      </c>
      <c r="P18">
        <v>2024</v>
      </c>
    </row>
    <row r="19" spans="1:16">
      <c r="A19" t="s">
        <v>217</v>
      </c>
      <c r="B19" t="s">
        <v>181</v>
      </c>
      <c r="C19" t="s">
        <v>219</v>
      </c>
      <c r="D19" t="s">
        <v>220</v>
      </c>
      <c r="E19" t="str">
        <f>'Anchov y SardC LTP'!D24</f>
        <v>ORION LIMITADA PESQ.</v>
      </c>
      <c r="F19" s="28">
        <v>45292</v>
      </c>
      <c r="G19" s="28">
        <v>45657</v>
      </c>
      <c r="H19">
        <f>'Anchov y SardC LTP'!G24</f>
        <v>1043.9275</v>
      </c>
      <c r="I19">
        <f>'Anchov y SardC LTP'!H24</f>
        <v>-813.63300000000004</v>
      </c>
      <c r="J19">
        <f>'Anchov y SardC LTP'!I24</f>
        <v>230.29449999999997</v>
      </c>
      <c r="K19">
        <f>'Anchov y SardC LTP'!J24</f>
        <v>0</v>
      </c>
      <c r="L19">
        <f>'Anchov y SardC LTP'!K24</f>
        <v>230.29449999999997</v>
      </c>
      <c r="M19" s="33">
        <f>'Anchov y SardC LTP'!L24</f>
        <v>0.77939607875067951</v>
      </c>
      <c r="N19" s="68" t="s">
        <v>263</v>
      </c>
      <c r="O19" s="28">
        <f>RESUMEN!$B$3</f>
        <v>45483</v>
      </c>
      <c r="P19">
        <v>2024</v>
      </c>
    </row>
    <row r="20" spans="1:16">
      <c r="A20" t="s">
        <v>217</v>
      </c>
      <c r="B20" t="s">
        <v>181</v>
      </c>
      <c r="C20" t="s">
        <v>219</v>
      </c>
      <c r="D20" t="s">
        <v>220</v>
      </c>
      <c r="E20" t="str">
        <f>'Anchov y SardC LTP'!D25</f>
        <v>ORIZON S.A.</v>
      </c>
      <c r="F20" s="28">
        <v>45292</v>
      </c>
      <c r="G20" s="28">
        <v>45657</v>
      </c>
      <c r="H20">
        <f>'Anchov y SardC LTP'!G25</f>
        <v>10800.509706800001</v>
      </c>
      <c r="I20">
        <f>'Anchov y SardC LTP'!H25</f>
        <v>-4644</v>
      </c>
      <c r="J20">
        <f>'Anchov y SardC LTP'!I25</f>
        <v>6156.5097068000014</v>
      </c>
      <c r="K20">
        <f>'Anchov y SardC LTP'!J25</f>
        <v>575.04</v>
      </c>
      <c r="L20">
        <f>'Anchov y SardC LTP'!K25</f>
        <v>5581.4697068000014</v>
      </c>
      <c r="M20" s="33">
        <f>'Anchov y SardC LTP'!L25</f>
        <v>9.3403572378819702E-2</v>
      </c>
      <c r="N20" s="68" t="s">
        <v>263</v>
      </c>
      <c r="O20" s="28">
        <f>RESUMEN!$B$3</f>
        <v>45483</v>
      </c>
      <c r="P20">
        <v>2024</v>
      </c>
    </row>
    <row r="21" spans="1:16">
      <c r="A21" t="s">
        <v>217</v>
      </c>
      <c r="B21" t="s">
        <v>181</v>
      </c>
      <c r="C21" t="s">
        <v>219</v>
      </c>
      <c r="D21" t="s">
        <v>220</v>
      </c>
      <c r="E21" t="str">
        <f>'Anchov y SardC LTP'!D26</f>
        <v>PEDRO IRIGOYEN LTDA. INV.</v>
      </c>
      <c r="F21" s="28">
        <v>45292</v>
      </c>
      <c r="G21" s="28">
        <v>45657</v>
      </c>
      <c r="H21">
        <f>'Anchov y SardC LTP'!G26</f>
        <v>381.86271419999997</v>
      </c>
      <c r="I21">
        <f>'Anchov y SardC LTP'!H26</f>
        <v>-297.60000000000002</v>
      </c>
      <c r="J21">
        <f>'Anchov y SardC LTP'!I26</f>
        <v>84.262714199999948</v>
      </c>
      <c r="K21">
        <f>'Anchov y SardC LTP'!J26</f>
        <v>0</v>
      </c>
      <c r="L21">
        <f>'Anchov y SardC LTP'!K26</f>
        <v>84.262714199999948</v>
      </c>
      <c r="M21" s="33">
        <f>'Anchov y SardC LTP'!L26</f>
        <v>0.7793376753828144</v>
      </c>
      <c r="N21" s="68" t="s">
        <v>263</v>
      </c>
      <c r="O21" s="28">
        <f>RESUMEN!$B$3</f>
        <v>45483</v>
      </c>
      <c r="P21">
        <v>2024</v>
      </c>
    </row>
    <row r="22" spans="1:16">
      <c r="A22" t="s">
        <v>217</v>
      </c>
      <c r="B22" t="s">
        <v>181</v>
      </c>
      <c r="C22" t="s">
        <v>219</v>
      </c>
      <c r="D22" t="s">
        <v>220</v>
      </c>
      <c r="E22" t="str">
        <f>'Anchov y SardC LTP'!D27</f>
        <v>SAN LAZARO LTDA.COM. Y CONS</v>
      </c>
      <c r="F22" s="28">
        <v>45292</v>
      </c>
      <c r="G22" s="28">
        <v>45657</v>
      </c>
      <c r="H22">
        <f>'Anchov y SardC LTP'!G27</f>
        <v>4.5634544999999997</v>
      </c>
      <c r="I22">
        <f>'Anchov y SardC LTP'!H27</f>
        <v>0</v>
      </c>
      <c r="J22">
        <f>'Anchov y SardC LTP'!I27</f>
        <v>4.5634544999999997</v>
      </c>
      <c r="K22">
        <f>'Anchov y SardC LTP'!J27</f>
        <v>0</v>
      </c>
      <c r="L22">
        <f>'Anchov y SardC LTP'!K27</f>
        <v>4.5634544999999997</v>
      </c>
      <c r="M22" s="33">
        <f>'Anchov y SardC LTP'!L27</f>
        <v>0</v>
      </c>
      <c r="N22" s="68" t="s">
        <v>263</v>
      </c>
      <c r="O22" s="28">
        <f>RESUMEN!$B$3</f>
        <v>45483</v>
      </c>
      <c r="P22">
        <v>2024</v>
      </c>
    </row>
    <row r="23" spans="1:16">
      <c r="A23" t="s">
        <v>217</v>
      </c>
      <c r="B23" t="s">
        <v>181</v>
      </c>
      <c r="C23" t="s">
        <v>219</v>
      </c>
      <c r="D23" t="s">
        <v>220</v>
      </c>
      <c r="E23" t="str">
        <f>'Anchov y SardC LTP'!D28</f>
        <v>SAN PEDRO LIMITADA PESQ.</v>
      </c>
      <c r="F23" s="28">
        <v>45292</v>
      </c>
      <c r="G23" s="28">
        <v>45657</v>
      </c>
      <c r="H23">
        <f>'Anchov y SardC LTP'!G28</f>
        <v>1103.5805</v>
      </c>
      <c r="I23">
        <f>'Anchov y SardC LTP'!H28</f>
        <v>0</v>
      </c>
      <c r="J23">
        <f>'Anchov y SardC LTP'!I28</f>
        <v>1103.5805</v>
      </c>
      <c r="K23">
        <f>'Anchov y SardC LTP'!J28</f>
        <v>0</v>
      </c>
      <c r="L23">
        <f>'Anchov y SardC LTP'!K28</f>
        <v>1103.5805</v>
      </c>
      <c r="M23" s="33">
        <f>'Anchov y SardC LTP'!L28</f>
        <v>0</v>
      </c>
      <c r="N23" s="68" t="s">
        <v>263</v>
      </c>
      <c r="O23" s="28">
        <f>RESUMEN!$B$3</f>
        <v>45483</v>
      </c>
      <c r="P23">
        <v>2024</v>
      </c>
    </row>
    <row r="24" spans="1:16">
      <c r="A24" t="s">
        <v>217</v>
      </c>
      <c r="B24" t="s">
        <v>181</v>
      </c>
      <c r="C24" t="s">
        <v>219</v>
      </c>
      <c r="D24" t="s">
        <v>220</v>
      </c>
      <c r="E24" t="str">
        <f>'Anchov y SardC LTP'!D29</f>
        <v>SILVA LORCA CRISTIAN</v>
      </c>
      <c r="F24" s="28">
        <v>45292</v>
      </c>
      <c r="G24" s="28">
        <v>45657</v>
      </c>
      <c r="H24">
        <f>'Anchov y SardC LTP'!G29</f>
        <v>2058.0285000000003</v>
      </c>
      <c r="I24">
        <f>'Anchov y SardC LTP'!H29</f>
        <v>-906.65300000000002</v>
      </c>
      <c r="J24">
        <f>'Anchov y SardC LTP'!I29</f>
        <v>1151.3755000000003</v>
      </c>
      <c r="K24">
        <f>'Anchov y SardC LTP'!J29</f>
        <v>0</v>
      </c>
      <c r="L24">
        <f>'Anchov y SardC LTP'!K29</f>
        <v>1151.3755000000003</v>
      </c>
      <c r="M24" s="33">
        <f>'Anchov y SardC LTP'!L29</f>
        <v>0.4405444336655201</v>
      </c>
      <c r="N24" s="68" t="s">
        <v>263</v>
      </c>
      <c r="O24" s="28">
        <f>RESUMEN!$B$3</f>
        <v>45483</v>
      </c>
      <c r="P24">
        <v>2024</v>
      </c>
    </row>
    <row r="25" spans="1:16">
      <c r="A25" t="s">
        <v>217</v>
      </c>
      <c r="B25" t="s">
        <v>181</v>
      </c>
      <c r="C25" t="s">
        <v>219</v>
      </c>
      <c r="D25" t="s">
        <v>220</v>
      </c>
      <c r="E25" t="str">
        <f>'Anchov y SardC LTP'!D30</f>
        <v>PROCESOS TECNOLOGICOS DEL BIOBIO S.A.</v>
      </c>
      <c r="F25" s="28">
        <v>45292</v>
      </c>
      <c r="G25" s="28">
        <v>45657</v>
      </c>
      <c r="H25">
        <f>'Anchov y SardC LTP'!G30</f>
        <v>0</v>
      </c>
      <c r="I25">
        <f>'Anchov y SardC LTP'!H30</f>
        <v>0</v>
      </c>
      <c r="J25">
        <f>'Anchov y SardC LTP'!I30</f>
        <v>0</v>
      </c>
      <c r="K25">
        <f>'Anchov y SardC LTP'!J30</f>
        <v>0</v>
      </c>
      <c r="L25">
        <f>'Anchov y SardC LTP'!K30</f>
        <v>0</v>
      </c>
      <c r="M25" s="33">
        <f>'Anchov y SardC LTP'!L30</f>
        <v>0</v>
      </c>
      <c r="N25" s="68" t="s">
        <v>263</v>
      </c>
      <c r="O25" s="28">
        <f>RESUMEN!$B$3</f>
        <v>45483</v>
      </c>
      <c r="P25">
        <v>2024</v>
      </c>
    </row>
    <row r="26" spans="1:16">
      <c r="A26" t="s">
        <v>217</v>
      </c>
      <c r="B26" t="s">
        <v>181</v>
      </c>
      <c r="C26" t="s">
        <v>219</v>
      </c>
      <c r="D26" t="s">
        <v>220</v>
      </c>
      <c r="E26" t="str">
        <f>'Anchov y SardC LTP'!D31</f>
        <v>SIPESUR SpA</v>
      </c>
      <c r="F26" s="28">
        <v>45292</v>
      </c>
      <c r="G26" s="28">
        <v>45657</v>
      </c>
      <c r="H26">
        <f>'Anchov y SardC LTP'!G31</f>
        <v>1193.06</v>
      </c>
      <c r="I26">
        <f>'Anchov y SardC LTP'!H31</f>
        <v>0</v>
      </c>
      <c r="J26">
        <f>'Anchov y SardC LTP'!I31</f>
        <v>1193.06</v>
      </c>
      <c r="K26">
        <f>'Anchov y SardC LTP'!J31</f>
        <v>0</v>
      </c>
      <c r="L26">
        <f>'Anchov y SardC LTP'!K31</f>
        <v>1193.06</v>
      </c>
      <c r="M26" s="132">
        <f>'Anchov y SardC LTP'!L31</f>
        <v>0</v>
      </c>
      <c r="N26" s="68"/>
      <c r="O26" s="28">
        <f>RESUMEN!$B$3</f>
        <v>45483</v>
      </c>
      <c r="P26">
        <v>2024</v>
      </c>
    </row>
    <row r="27" spans="1:16">
      <c r="A27" t="s">
        <v>217</v>
      </c>
      <c r="B27" t="s">
        <v>181</v>
      </c>
      <c r="C27" t="s">
        <v>219</v>
      </c>
      <c r="D27" t="s">
        <v>220</v>
      </c>
      <c r="E27" t="str">
        <f>'Anchov y SardC LTP'!D32</f>
        <v>THOR FISHERIES CHILE SPA.</v>
      </c>
      <c r="F27" s="28">
        <v>45292</v>
      </c>
      <c r="G27" s="28">
        <v>45657</v>
      </c>
      <c r="H27">
        <f>'Anchov y SardC LTP'!G32</f>
        <v>0.59653</v>
      </c>
      <c r="I27">
        <f>'Anchov y SardC LTP'!H32</f>
        <v>1.2370000000000001</v>
      </c>
      <c r="J27">
        <f>'Anchov y SardC LTP'!I32</f>
        <v>1.8335300000000001</v>
      </c>
      <c r="K27">
        <f>'Anchov y SardC LTP'!J32</f>
        <v>0</v>
      </c>
      <c r="L27">
        <f>'Anchov y SardC LTP'!K32</f>
        <v>1.8335300000000001</v>
      </c>
      <c r="M27" s="33">
        <f>'Anchov y SardC LTP'!L32</f>
        <v>0</v>
      </c>
      <c r="N27" s="68" t="s">
        <v>263</v>
      </c>
      <c r="O27" s="28">
        <f>RESUMEN!$B$3</f>
        <v>45483</v>
      </c>
      <c r="P27">
        <v>2024</v>
      </c>
    </row>
    <row r="28" spans="1:16">
      <c r="A28" s="124" t="s">
        <v>217</v>
      </c>
      <c r="B28" s="124" t="s">
        <v>181</v>
      </c>
      <c r="C28" s="124" t="s">
        <v>219</v>
      </c>
      <c r="D28" s="124" t="s">
        <v>220</v>
      </c>
      <c r="E28" s="124" t="str">
        <f>'Anchov y SardC LTP'!D33</f>
        <v>TOTAL ASIGNATARIOS LTP</v>
      </c>
      <c r="F28" s="131">
        <v>45292</v>
      </c>
      <c r="G28" s="131">
        <v>45657</v>
      </c>
      <c r="H28" s="124">
        <f>'Anchov y SardC LTP'!G33</f>
        <v>59653.005965299992</v>
      </c>
      <c r="I28" s="124">
        <f>'Anchov y SardC LTP'!H33</f>
        <v>-32388.979000000003</v>
      </c>
      <c r="J28" s="124">
        <f>'Anchov y SardC LTP'!I33</f>
        <v>27264.026965299989</v>
      </c>
      <c r="K28" s="124">
        <f>'Anchov y SardC LTP'!J33</f>
        <v>820.15699999999993</v>
      </c>
      <c r="L28" s="124">
        <f>'Anchov y SardC LTP'!K33</f>
        <v>26443.869965299989</v>
      </c>
      <c r="M28" s="125">
        <f>'Anchov y SardC LTP'!L33</f>
        <v>0.54295636030212113</v>
      </c>
      <c r="N28" s="126" t="s">
        <v>242</v>
      </c>
      <c r="O28" s="28">
        <f>RESUMEN!$B$3</f>
        <v>45483</v>
      </c>
      <c r="P28">
        <v>2024</v>
      </c>
    </row>
    <row r="29" spans="1:16">
      <c r="A29" t="s">
        <v>147</v>
      </c>
      <c r="B29" t="s">
        <v>182</v>
      </c>
      <c r="C29" t="s">
        <v>219</v>
      </c>
      <c r="D29" t="s">
        <v>220</v>
      </c>
      <c r="E29" t="str">
        <f>'Anchov y SardC LTP'!D40</f>
        <v>ALIMENTOS MARINOS S.A.</v>
      </c>
      <c r="F29" s="28">
        <v>45292</v>
      </c>
      <c r="G29" s="28">
        <v>45657</v>
      </c>
      <c r="H29">
        <f>'Anchov y SardC LTP'!G40</f>
        <v>5651.3758416000001</v>
      </c>
      <c r="I29">
        <f>'Anchov y SardC LTP'!H40</f>
        <v>-3424.76</v>
      </c>
      <c r="J29">
        <f>'Anchov y SardC LTP'!I40</f>
        <v>2226.6158415999998</v>
      </c>
      <c r="K29">
        <f>'Anchov y SardC LTP'!J40</f>
        <v>0</v>
      </c>
      <c r="L29">
        <f>'Anchov y SardC LTP'!K40</f>
        <v>2226.6158415999998</v>
      </c>
      <c r="M29" s="33">
        <f>'Anchov y SardC LTP'!L40</f>
        <v>0.60600464311543523</v>
      </c>
      <c r="N29" s="68" t="s">
        <v>242</v>
      </c>
      <c r="O29" s="28">
        <f>RESUMEN!$B$3</f>
        <v>45483</v>
      </c>
      <c r="P29">
        <v>2024</v>
      </c>
    </row>
    <row r="30" spans="1:16">
      <c r="A30" t="s">
        <v>147</v>
      </c>
      <c r="B30" t="s">
        <v>182</v>
      </c>
      <c r="C30" t="s">
        <v>219</v>
      </c>
      <c r="D30" t="s">
        <v>220</v>
      </c>
      <c r="E30" t="str">
        <f>'Anchov y SardC LTP'!D41</f>
        <v>BLUMAR S.A.</v>
      </c>
      <c r="F30" s="28">
        <v>45292</v>
      </c>
      <c r="G30" s="28">
        <v>45657</v>
      </c>
      <c r="H30">
        <f>'Anchov y SardC LTP'!G41</f>
        <v>13615.001871999999</v>
      </c>
      <c r="I30">
        <f>'Anchov y SardC LTP'!H41</f>
        <v>-12039</v>
      </c>
      <c r="J30">
        <f>'Anchov y SardC LTP'!I41</f>
        <v>1576.0018719999989</v>
      </c>
      <c r="K30">
        <f>'Anchov y SardC LTP'!J41</f>
        <v>0</v>
      </c>
      <c r="L30">
        <f>'Anchov y SardC LTP'!K41</f>
        <v>1576.0018719999989</v>
      </c>
      <c r="M30" s="33">
        <f>'Anchov y SardC LTP'!L41</f>
        <v>0.88424519608468555</v>
      </c>
      <c r="N30" s="68" t="s">
        <v>242</v>
      </c>
      <c r="O30" s="28">
        <f>RESUMEN!$B$3</f>
        <v>45483</v>
      </c>
      <c r="P30">
        <v>2024</v>
      </c>
    </row>
    <row r="31" spans="1:16">
      <c r="A31" t="s">
        <v>147</v>
      </c>
      <c r="B31" t="s">
        <v>182</v>
      </c>
      <c r="C31" t="s">
        <v>219</v>
      </c>
      <c r="D31" t="s">
        <v>220</v>
      </c>
      <c r="E31" t="str">
        <f>'Anchov y SardC LTP'!D42</f>
        <v>CAMANCHACA PESCA SUR S.A.</v>
      </c>
      <c r="F31" s="28">
        <v>45292</v>
      </c>
      <c r="G31" s="28">
        <v>45657</v>
      </c>
      <c r="H31">
        <f>'Anchov y SardC LTP'!G42</f>
        <v>13659.041871199999</v>
      </c>
      <c r="I31">
        <f>'Anchov y SardC LTP'!H42</f>
        <v>-10239.964</v>
      </c>
      <c r="J31">
        <f>'Anchov y SardC LTP'!I42</f>
        <v>3419.0778711999992</v>
      </c>
      <c r="K31">
        <f>'Anchov y SardC LTP'!J42</f>
        <v>134.80799999999999</v>
      </c>
      <c r="L31">
        <f>'Anchov y SardC LTP'!K42</f>
        <v>3284.2698711999992</v>
      </c>
      <c r="M31" s="33">
        <f>'Anchov y SardC LTP'!L42</f>
        <v>3.9428174811557075E-2</v>
      </c>
      <c r="N31" s="68" t="s">
        <v>242</v>
      </c>
      <c r="O31" s="28">
        <f>RESUMEN!$B$3</f>
        <v>45483</v>
      </c>
      <c r="P31">
        <v>2024</v>
      </c>
    </row>
    <row r="32" spans="1:16">
      <c r="A32" t="s">
        <v>147</v>
      </c>
      <c r="B32" t="s">
        <v>182</v>
      </c>
      <c r="C32" t="s">
        <v>219</v>
      </c>
      <c r="D32" t="s">
        <v>220</v>
      </c>
      <c r="E32" t="str">
        <f>'Anchov y SardC LTP'!D43</f>
        <v>COMERCIAL Y CONSERVERA SAN LAZARO LTDA.</v>
      </c>
      <c r="F32" s="28">
        <v>45292</v>
      </c>
      <c r="G32" s="28">
        <v>45657</v>
      </c>
      <c r="H32">
        <f>'Anchov y SardC LTP'!G43</f>
        <v>0.63928000000000007</v>
      </c>
      <c r="I32">
        <f>'Anchov y SardC LTP'!H43</f>
        <v>0</v>
      </c>
      <c r="J32">
        <f>'Anchov y SardC LTP'!I43</f>
        <v>0.63928000000000007</v>
      </c>
      <c r="K32">
        <f>'Anchov y SardC LTP'!J43</f>
        <v>0</v>
      </c>
      <c r="L32">
        <f>'Anchov y SardC LTP'!K43</f>
        <v>0.63928000000000007</v>
      </c>
      <c r="M32" s="33">
        <f>'Anchov y SardC LTP'!L43</f>
        <v>0</v>
      </c>
      <c r="N32" s="68" t="s">
        <v>242</v>
      </c>
      <c r="O32" s="28">
        <f>RESUMEN!$B$3</f>
        <v>45483</v>
      </c>
      <c r="P32">
        <v>2024</v>
      </c>
    </row>
    <row r="33" spans="1:16">
      <c r="A33" t="s">
        <v>147</v>
      </c>
      <c r="B33" t="s">
        <v>182</v>
      </c>
      <c r="C33" t="s">
        <v>219</v>
      </c>
      <c r="D33" t="s">
        <v>220</v>
      </c>
      <c r="E33" t="str">
        <f>'Anchov y SardC LTP'!D44</f>
        <v>SILVA LORCA CRISTIAN</v>
      </c>
      <c r="F33" s="28">
        <v>45292</v>
      </c>
      <c r="G33" s="28">
        <v>45657</v>
      </c>
      <c r="H33">
        <f>'Anchov y SardC LTP'!G44</f>
        <v>863.02800000000002</v>
      </c>
      <c r="I33">
        <f>'Anchov y SardC LTP'!H44</f>
        <v>-863.02800000000002</v>
      </c>
      <c r="J33">
        <f>'Anchov y SardC LTP'!I44</f>
        <v>0</v>
      </c>
      <c r="K33">
        <f>'Anchov y SardC LTP'!J44</f>
        <v>0</v>
      </c>
      <c r="L33">
        <f>'Anchov y SardC LTP'!K44</f>
        <v>0</v>
      </c>
      <c r="M33" s="33">
        <f>'Anchov y SardC LTP'!L44</f>
        <v>1</v>
      </c>
      <c r="N33" s="68" t="s">
        <v>242</v>
      </c>
      <c r="O33" s="28">
        <f>RESUMEN!$B$3</f>
        <v>45483</v>
      </c>
      <c r="P33">
        <v>2024</v>
      </c>
    </row>
    <row r="34" spans="1:16">
      <c r="A34" t="s">
        <v>147</v>
      </c>
      <c r="B34" t="s">
        <v>182</v>
      </c>
      <c r="C34" t="s">
        <v>219</v>
      </c>
      <c r="D34" t="s">
        <v>220</v>
      </c>
      <c r="E34" t="str">
        <f>'Anchov y SardC LTP'!D45</f>
        <v>FABIAN MONSALVE SALAS</v>
      </c>
      <c r="F34" s="28">
        <v>45292</v>
      </c>
      <c r="G34" s="28">
        <v>45657</v>
      </c>
      <c r="H34">
        <f>'Anchov y SardC LTP'!G45</f>
        <v>143.83799999999999</v>
      </c>
      <c r="I34">
        <f>'Anchov y SardC LTP'!H45</f>
        <v>-143.83799999999999</v>
      </c>
      <c r="J34">
        <f>'Anchov y SardC LTP'!I45</f>
        <v>0</v>
      </c>
      <c r="K34">
        <f>'Anchov y SardC LTP'!J45</f>
        <v>0</v>
      </c>
      <c r="L34">
        <f>'Anchov y SardC LTP'!K45</f>
        <v>0</v>
      </c>
      <c r="M34" s="33">
        <f>'Anchov y SardC LTP'!L45</f>
        <v>1</v>
      </c>
      <c r="N34" s="68" t="s">
        <v>242</v>
      </c>
      <c r="O34" s="28">
        <f>RESUMEN!$B$3</f>
        <v>45483</v>
      </c>
      <c r="P34">
        <v>2024</v>
      </c>
    </row>
    <row r="35" spans="1:16">
      <c r="A35" t="s">
        <v>147</v>
      </c>
      <c r="B35" t="s">
        <v>182</v>
      </c>
      <c r="C35" t="s">
        <v>219</v>
      </c>
      <c r="D35" t="s">
        <v>220</v>
      </c>
      <c r="E35" t="str">
        <f>'Anchov y SardC LTP'!D46</f>
        <v>FOODCORP CHILE S.A.</v>
      </c>
      <c r="F35" s="28">
        <v>45292</v>
      </c>
      <c r="G35" s="28">
        <v>45657</v>
      </c>
      <c r="H35">
        <f>'Anchov y SardC LTP'!G46</f>
        <v>1300.2763416</v>
      </c>
      <c r="I35">
        <f>'Anchov y SardC LTP'!H46</f>
        <v>-1089</v>
      </c>
      <c r="J35">
        <f>'Anchov y SardC LTP'!I46</f>
        <v>211.27634160000002</v>
      </c>
      <c r="K35">
        <f>'Anchov y SardC LTP'!J46</f>
        <v>0</v>
      </c>
      <c r="L35">
        <f>'Anchov y SardC LTP'!K46</f>
        <v>211.27634160000002</v>
      </c>
      <c r="M35" s="33">
        <f>'Anchov y SardC LTP'!L46</f>
        <v>0.83751427689592284</v>
      </c>
      <c r="N35" s="68" t="s">
        <v>242</v>
      </c>
      <c r="O35" s="28">
        <f>RESUMEN!$B$3</f>
        <v>45483</v>
      </c>
      <c r="P35">
        <v>2024</v>
      </c>
    </row>
    <row r="36" spans="1:16">
      <c r="A36" t="s">
        <v>147</v>
      </c>
      <c r="B36" t="s">
        <v>182</v>
      </c>
      <c r="C36" t="s">
        <v>219</v>
      </c>
      <c r="D36" t="s">
        <v>220</v>
      </c>
      <c r="E36" t="str">
        <f>'Anchov y SardC LTP'!D47</f>
        <v>GENMAR LTDA. SOC. PESQ.</v>
      </c>
      <c r="F36" s="28">
        <v>45292</v>
      </c>
      <c r="G36" s="28">
        <v>45657</v>
      </c>
      <c r="H36">
        <f>'Anchov y SardC LTP'!G47</f>
        <v>18.443228000000001</v>
      </c>
      <c r="I36">
        <f>'Anchov y SardC LTP'!H47</f>
        <v>0</v>
      </c>
      <c r="J36">
        <f>'Anchov y SardC LTP'!I47</f>
        <v>18.443228000000001</v>
      </c>
      <c r="K36">
        <f>'Anchov y SardC LTP'!J47</f>
        <v>0</v>
      </c>
      <c r="L36">
        <f>'Anchov y SardC LTP'!K47</f>
        <v>18.443228000000001</v>
      </c>
      <c r="M36" s="33">
        <f>'Anchov y SardC LTP'!L47</f>
        <v>0</v>
      </c>
      <c r="N36" s="68" t="s">
        <v>242</v>
      </c>
      <c r="O36" s="28">
        <f>RESUMEN!$B$3</f>
        <v>45483</v>
      </c>
      <c r="P36">
        <v>2024</v>
      </c>
    </row>
    <row r="37" spans="1:16">
      <c r="A37" t="s">
        <v>147</v>
      </c>
      <c r="B37" t="s">
        <v>182</v>
      </c>
      <c r="C37" t="s">
        <v>219</v>
      </c>
      <c r="D37" t="s">
        <v>220</v>
      </c>
      <c r="E37" t="str">
        <f>'Anchov y SardC LTP'!D48</f>
        <v>GONZALO GALDAMEZ SANTIBAÑEZ</v>
      </c>
      <c r="F37" s="28">
        <v>45292</v>
      </c>
      <c r="G37" s="28">
        <v>45657</v>
      </c>
      <c r="H37">
        <f>'Anchov y SardC LTP'!G48</f>
        <v>575.35199999999998</v>
      </c>
      <c r="I37">
        <f>'Anchov y SardC LTP'!H48</f>
        <v>0</v>
      </c>
      <c r="J37">
        <f>'Anchov y SardC LTP'!I48</f>
        <v>575.35199999999998</v>
      </c>
      <c r="K37">
        <f>'Anchov y SardC LTP'!J48</f>
        <v>0</v>
      </c>
      <c r="L37">
        <f>'Anchov y SardC LTP'!K48</f>
        <v>575.35199999999998</v>
      </c>
      <c r="M37" s="33">
        <f>'Anchov y SardC LTP'!L48</f>
        <v>0</v>
      </c>
      <c r="N37" s="68" t="s">
        <v>242</v>
      </c>
      <c r="O37" s="28">
        <f>RESUMEN!$B$3</f>
        <v>45483</v>
      </c>
      <c r="P37">
        <v>2024</v>
      </c>
    </row>
    <row r="38" spans="1:16">
      <c r="A38" t="s">
        <v>147</v>
      </c>
      <c r="B38" t="s">
        <v>182</v>
      </c>
      <c r="C38" t="s">
        <v>219</v>
      </c>
      <c r="D38" t="s">
        <v>220</v>
      </c>
      <c r="E38" t="str">
        <f>'Anchov y SardC LTP'!D49</f>
        <v>INOSTROZA CONCHA PELANTARO</v>
      </c>
      <c r="F38" s="28">
        <v>45292</v>
      </c>
      <c r="G38" s="28">
        <v>45657</v>
      </c>
      <c r="H38">
        <f>'Anchov y SardC LTP'!G49</f>
        <v>98.289299999999997</v>
      </c>
      <c r="I38">
        <f>'Anchov y SardC LTP'!H49</f>
        <v>0</v>
      </c>
      <c r="J38">
        <f>'Anchov y SardC LTP'!I49</f>
        <v>98.289299999999997</v>
      </c>
      <c r="K38">
        <f>'Anchov y SardC LTP'!J49</f>
        <v>0</v>
      </c>
      <c r="L38">
        <f>'Anchov y SardC LTP'!K49</f>
        <v>98.289299999999997</v>
      </c>
      <c r="M38" s="33">
        <f>'Anchov y SardC LTP'!L49</f>
        <v>0</v>
      </c>
      <c r="N38" s="68" t="s">
        <v>242</v>
      </c>
      <c r="O38" s="28">
        <f>RESUMEN!$B$3</f>
        <v>45483</v>
      </c>
      <c r="P38">
        <v>2024</v>
      </c>
    </row>
    <row r="39" spans="1:16">
      <c r="A39" t="s">
        <v>147</v>
      </c>
      <c r="B39" t="s">
        <v>182</v>
      </c>
      <c r="C39" t="s">
        <v>219</v>
      </c>
      <c r="D39" t="s">
        <v>220</v>
      </c>
      <c r="E39" t="str">
        <f>'Anchov y SardC LTP'!D50</f>
        <v>PEDRO IRIGOYEN LTDA. INV.</v>
      </c>
      <c r="F39" s="28">
        <v>45292</v>
      </c>
      <c r="G39" s="28">
        <v>45657</v>
      </c>
      <c r="H39">
        <f>'Anchov y SardC LTP'!G50</f>
        <v>275.59360799999996</v>
      </c>
      <c r="I39">
        <f>'Anchov y SardC LTP'!H50</f>
        <v>-275.59399999999999</v>
      </c>
      <c r="J39">
        <f>'Anchov y SardC LTP'!I50</f>
        <v>-3.9200000003347668E-4</v>
      </c>
      <c r="K39">
        <f>'Anchov y SardC LTP'!J50</f>
        <v>0</v>
      </c>
      <c r="L39">
        <f>'Anchov y SardC LTP'!K50</f>
        <v>-3.9200000003347668E-4</v>
      </c>
      <c r="M39" s="33">
        <f>'Anchov y SardC LTP'!L50</f>
        <v>1.0000014223842233</v>
      </c>
      <c r="N39" s="68" t="s">
        <v>242</v>
      </c>
      <c r="O39" s="28">
        <f>RESUMEN!$B$3</f>
        <v>45483</v>
      </c>
      <c r="P39">
        <v>2024</v>
      </c>
    </row>
    <row r="40" spans="1:16">
      <c r="A40" t="s">
        <v>147</v>
      </c>
      <c r="B40" t="s">
        <v>182</v>
      </c>
      <c r="C40" t="s">
        <v>219</v>
      </c>
      <c r="D40" t="s">
        <v>220</v>
      </c>
      <c r="E40" t="str">
        <f>'Anchov y SardC LTP'!D51</f>
        <v>INVERSIONES TRIDENTE SpA</v>
      </c>
      <c r="F40" s="28">
        <v>45292</v>
      </c>
      <c r="G40" s="28">
        <v>45657</v>
      </c>
      <c r="H40">
        <f>'Anchov y SardC LTP'!G51</f>
        <v>527.40600000000006</v>
      </c>
      <c r="I40">
        <f>'Anchov y SardC LTP'!H51</f>
        <v>-527.40599999999995</v>
      </c>
      <c r="J40">
        <f>'Anchov y SardC LTP'!I51</f>
        <v>0</v>
      </c>
      <c r="K40">
        <f>'Anchov y SardC LTP'!J51</f>
        <v>0</v>
      </c>
      <c r="L40">
        <f>'Anchov y SardC LTP'!K51</f>
        <v>0</v>
      </c>
      <c r="M40" s="33">
        <f>'Anchov y SardC LTP'!L51</f>
        <v>0.99999999999999978</v>
      </c>
      <c r="N40" s="68" t="s">
        <v>242</v>
      </c>
      <c r="O40" s="28">
        <f>RESUMEN!$B$3</f>
        <v>45483</v>
      </c>
      <c r="P40">
        <v>2024</v>
      </c>
    </row>
    <row r="41" spans="1:16">
      <c r="A41" t="s">
        <v>147</v>
      </c>
      <c r="B41" t="s">
        <v>182</v>
      </c>
      <c r="C41" t="s">
        <v>219</v>
      </c>
      <c r="D41" t="s">
        <v>220</v>
      </c>
      <c r="E41" t="str">
        <f>'Anchov y SardC LTP'!D52</f>
        <v>ISLA QUIHUA S.A. PESQ</v>
      </c>
      <c r="F41" s="28">
        <v>45292</v>
      </c>
      <c r="G41" s="28">
        <v>45657</v>
      </c>
      <c r="H41">
        <f>'Anchov y SardC LTP'!G52</f>
        <v>1.086776</v>
      </c>
      <c r="I41">
        <f>'Anchov y SardC LTP'!H52</f>
        <v>0</v>
      </c>
      <c r="J41">
        <f>'Anchov y SardC LTP'!I52</f>
        <v>1.086776</v>
      </c>
      <c r="K41">
        <f>'Anchov y SardC LTP'!J52</f>
        <v>0</v>
      </c>
      <c r="L41">
        <f>'Anchov y SardC LTP'!K52</f>
        <v>1.086776</v>
      </c>
      <c r="M41" s="33">
        <f>'Anchov y SardC LTP'!L52</f>
        <v>0</v>
      </c>
      <c r="N41" s="68" t="s">
        <v>242</v>
      </c>
      <c r="O41" s="28">
        <f>RESUMEN!$B$3</f>
        <v>45483</v>
      </c>
      <c r="P41">
        <v>2024</v>
      </c>
    </row>
    <row r="42" spans="1:16">
      <c r="A42" t="s">
        <v>147</v>
      </c>
      <c r="B42" t="s">
        <v>182</v>
      </c>
      <c r="C42" t="s">
        <v>219</v>
      </c>
      <c r="D42" t="s">
        <v>220</v>
      </c>
      <c r="E42" t="str">
        <f>'Anchov y SardC LTP'!D53</f>
        <v>JULIO SAEZ MUÑOZ</v>
      </c>
      <c r="F42" s="28">
        <v>45292</v>
      </c>
      <c r="G42" s="28">
        <v>45657</v>
      </c>
      <c r="H42">
        <f>'Anchov y SardC LTP'!G53</f>
        <v>287.67599999999999</v>
      </c>
      <c r="I42">
        <f>'Anchov y SardC LTP'!H53</f>
        <v>-287.67599999999999</v>
      </c>
      <c r="J42">
        <f>'Anchov y SardC LTP'!I53</f>
        <v>0</v>
      </c>
      <c r="K42">
        <f>'Anchov y SardC LTP'!J53</f>
        <v>0</v>
      </c>
      <c r="L42">
        <f>'Anchov y SardC LTP'!K53</f>
        <v>0</v>
      </c>
      <c r="M42" s="33">
        <f>'Anchov y SardC LTP'!L53</f>
        <v>1</v>
      </c>
      <c r="N42" s="68" t="s">
        <v>242</v>
      </c>
      <c r="O42" s="28">
        <f>RESUMEN!$B$3</f>
        <v>45483</v>
      </c>
      <c r="P42">
        <v>2024</v>
      </c>
    </row>
    <row r="43" spans="1:16">
      <c r="A43" t="s">
        <v>147</v>
      </c>
      <c r="B43" t="s">
        <v>182</v>
      </c>
      <c r="C43" t="s">
        <v>219</v>
      </c>
      <c r="D43" t="s">
        <v>220</v>
      </c>
      <c r="E43" t="str">
        <f>'Anchov y SardC LTP'!D54</f>
        <v>LANDES S.A. SOC PESQ.</v>
      </c>
      <c r="F43" s="28">
        <v>45292</v>
      </c>
      <c r="G43" s="28">
        <v>45657</v>
      </c>
      <c r="H43">
        <f>'Anchov y SardC LTP'!G54</f>
        <v>5298.7489935999993</v>
      </c>
      <c r="I43">
        <f>'Anchov y SardC LTP'!H54</f>
        <v>-3503.279</v>
      </c>
      <c r="J43">
        <f>'Anchov y SardC LTP'!I54</f>
        <v>1795.4699935999993</v>
      </c>
      <c r="K43">
        <f>'Anchov y SardC LTP'!J54</f>
        <v>0</v>
      </c>
      <c r="L43">
        <f>'Anchov y SardC LTP'!K54</f>
        <v>1795.4699935999993</v>
      </c>
      <c r="M43" s="33">
        <f>'Anchov y SardC LTP'!L54</f>
        <v>0.66115209537786634</v>
      </c>
      <c r="N43" s="68" t="s">
        <v>242</v>
      </c>
      <c r="O43" s="28">
        <f>RESUMEN!$B$3</f>
        <v>45483</v>
      </c>
      <c r="P43">
        <v>2024</v>
      </c>
    </row>
    <row r="44" spans="1:16">
      <c r="A44" t="s">
        <v>147</v>
      </c>
      <c r="B44" t="s">
        <v>182</v>
      </c>
      <c r="C44" t="s">
        <v>219</v>
      </c>
      <c r="D44" t="s">
        <v>220</v>
      </c>
      <c r="E44" t="str">
        <f>'Anchov y SardC LTP'!D55</f>
        <v>LITORAL SpA PESQ.</v>
      </c>
      <c r="F44" s="28">
        <v>45292</v>
      </c>
      <c r="G44" s="28">
        <v>45657</v>
      </c>
      <c r="H44">
        <f>'Anchov y SardC LTP'!G55</f>
        <v>1026.6453232000001</v>
      </c>
      <c r="I44">
        <f>'Anchov y SardC LTP'!H55</f>
        <v>0</v>
      </c>
      <c r="J44">
        <f>'Anchov y SardC LTP'!I55</f>
        <v>1026.6453232000001</v>
      </c>
      <c r="K44">
        <f>'Anchov y SardC LTP'!J55</f>
        <v>0</v>
      </c>
      <c r="L44">
        <f>'Anchov y SardC LTP'!K55</f>
        <v>1026.6453232000001</v>
      </c>
      <c r="M44" s="33">
        <f>'Anchov y SardC LTP'!L55</f>
        <v>0</v>
      </c>
      <c r="N44" s="68" t="s">
        <v>242</v>
      </c>
      <c r="O44" s="28">
        <f>RESUMEN!$B$3</f>
        <v>45483</v>
      </c>
      <c r="P44">
        <v>2024</v>
      </c>
    </row>
    <row r="45" spans="1:16">
      <c r="A45" t="s">
        <v>147</v>
      </c>
      <c r="B45" t="s">
        <v>182</v>
      </c>
      <c r="C45" t="s">
        <v>219</v>
      </c>
      <c r="D45" t="s">
        <v>220</v>
      </c>
      <c r="E45" t="str">
        <f>'Anchov y SardC LTP'!D56</f>
        <v>LOTA PROTEIN S.A.</v>
      </c>
      <c r="F45" s="28">
        <v>45292</v>
      </c>
      <c r="G45" s="28">
        <v>45657</v>
      </c>
      <c r="H45">
        <f>'Anchov y SardC LTP'!G56</f>
        <v>2193.3568943999999</v>
      </c>
      <c r="I45">
        <f>'Anchov y SardC LTP'!H56</f>
        <v>-1220</v>
      </c>
      <c r="J45">
        <f>'Anchov y SardC LTP'!I56</f>
        <v>973.35689439999987</v>
      </c>
      <c r="K45">
        <f>'Anchov y SardC LTP'!J56</f>
        <v>0</v>
      </c>
      <c r="L45">
        <f>'Anchov y SardC LTP'!K56</f>
        <v>973.35689439999987</v>
      </c>
      <c r="M45" s="33">
        <f>'Anchov y SardC LTP'!L56</f>
        <v>0.55622502799925544</v>
      </c>
      <c r="N45" s="68" t="s">
        <v>242</v>
      </c>
      <c r="O45" s="28">
        <f>RESUMEN!$B$3</f>
        <v>45483</v>
      </c>
      <c r="P45">
        <v>2024</v>
      </c>
    </row>
    <row r="46" spans="1:16">
      <c r="A46" t="s">
        <v>147</v>
      </c>
      <c r="B46" t="s">
        <v>182</v>
      </c>
      <c r="C46" t="s">
        <v>219</v>
      </c>
      <c r="D46" t="s">
        <v>220</v>
      </c>
      <c r="E46" t="str">
        <f>'Anchov y SardC LTP'!D57</f>
        <v>NOVAMAR SpA</v>
      </c>
      <c r="F46" s="28">
        <v>45292</v>
      </c>
      <c r="G46" s="28">
        <v>45657</v>
      </c>
      <c r="H46">
        <f>'Anchov y SardC LTP'!G57</f>
        <v>4330.8726808000001</v>
      </c>
      <c r="I46">
        <f>'Anchov y SardC LTP'!H57</f>
        <v>-3499.6379999999999</v>
      </c>
      <c r="J46">
        <f>'Anchov y SardC LTP'!I57</f>
        <v>831.23468080000021</v>
      </c>
      <c r="K46">
        <f>'Anchov y SardC LTP'!J57</f>
        <v>0</v>
      </c>
      <c r="L46">
        <f>'Anchov y SardC LTP'!K57</f>
        <v>831.23468080000021</v>
      </c>
      <c r="M46" s="33">
        <f>'Anchov y SardC LTP'!L57</f>
        <v>0.80806762468795224</v>
      </c>
      <c r="N46" s="68" t="s">
        <v>242</v>
      </c>
      <c r="O46" s="28">
        <f>RESUMEN!$B$3</f>
        <v>45483</v>
      </c>
      <c r="P46">
        <v>2024</v>
      </c>
    </row>
    <row r="47" spans="1:16">
      <c r="A47" t="s">
        <v>147</v>
      </c>
      <c r="B47" t="s">
        <v>182</v>
      </c>
      <c r="C47" t="s">
        <v>219</v>
      </c>
      <c r="D47" t="s">
        <v>220</v>
      </c>
      <c r="E47" t="str">
        <f>'Anchov y SardC LTP'!D58</f>
        <v>ORIZON S.A.</v>
      </c>
      <c r="F47" s="28">
        <v>45292</v>
      </c>
      <c r="G47" s="28">
        <v>45657</v>
      </c>
      <c r="H47">
        <f>'Anchov y SardC LTP'!G58</f>
        <v>10854.712295200001</v>
      </c>
      <c r="I47">
        <f>'Anchov y SardC LTP'!H58</f>
        <v>-5806</v>
      </c>
      <c r="J47">
        <f>'Anchov y SardC LTP'!I58</f>
        <v>5048.7122952000009</v>
      </c>
      <c r="K47">
        <f>'Anchov y SardC LTP'!J58</f>
        <v>259.142</v>
      </c>
      <c r="L47">
        <f>'Anchov y SardC LTP'!K58</f>
        <v>4789.5702952000011</v>
      </c>
      <c r="M47" s="33">
        <f>'Anchov y SardC LTP'!L58</f>
        <v>5.1328335790965143E-2</v>
      </c>
      <c r="N47" s="68" t="s">
        <v>242</v>
      </c>
      <c r="O47" s="28">
        <f>RESUMEN!$B$3</f>
        <v>45483</v>
      </c>
      <c r="P47">
        <v>2024</v>
      </c>
    </row>
    <row r="48" spans="1:16">
      <c r="A48" t="s">
        <v>147</v>
      </c>
      <c r="B48" t="s">
        <v>182</v>
      </c>
      <c r="C48" t="s">
        <v>219</v>
      </c>
      <c r="D48" t="s">
        <v>220</v>
      </c>
      <c r="E48" t="str">
        <f>'Anchov y SardC LTP'!D59</f>
        <v>PESQ. LEPE LTDA.</v>
      </c>
      <c r="F48" s="28">
        <v>45292</v>
      </c>
      <c r="G48" s="28">
        <v>45657</v>
      </c>
      <c r="H48">
        <f>'Anchov y SardC LTP'!G59</f>
        <v>1767.6092000000001</v>
      </c>
      <c r="I48">
        <f>'Anchov y SardC LTP'!H59</f>
        <v>-1767.6089999999999</v>
      </c>
      <c r="J48">
        <f>'Anchov y SardC LTP'!I59</f>
        <v>2.0000000017716957E-4</v>
      </c>
      <c r="K48">
        <f>'Anchov y SardC LTP'!J59</f>
        <v>0</v>
      </c>
      <c r="L48">
        <f>'Anchov y SardC LTP'!K59</f>
        <v>2.0000000017716957E-4</v>
      </c>
      <c r="M48" s="33">
        <f>'Anchov y SardC LTP'!L59</f>
        <v>0.99999988685281782</v>
      </c>
      <c r="N48" s="68" t="s">
        <v>242</v>
      </c>
      <c r="O48" s="28">
        <f>RESUMEN!$B$3</f>
        <v>45483</v>
      </c>
      <c r="P48">
        <v>2024</v>
      </c>
    </row>
    <row r="49" spans="1:16">
      <c r="A49" t="s">
        <v>147</v>
      </c>
      <c r="B49" t="s">
        <v>182</v>
      </c>
      <c r="C49" t="s">
        <v>219</v>
      </c>
      <c r="D49" t="s">
        <v>220</v>
      </c>
      <c r="E49" t="str">
        <f>'Anchov y SardC LTP'!D60</f>
        <v>PROCESOS TECNOLOGICOS DEL BIOBIO S.A.</v>
      </c>
      <c r="F49" s="28">
        <v>45292</v>
      </c>
      <c r="G49" s="28">
        <v>45657</v>
      </c>
      <c r="H49">
        <f>'Anchov y SardC LTP'!G60</f>
        <v>0</v>
      </c>
      <c r="I49">
        <f>'Anchov y SardC LTP'!H60</f>
        <v>0</v>
      </c>
      <c r="J49">
        <f>'Anchov y SardC LTP'!I60</f>
        <v>0</v>
      </c>
      <c r="K49">
        <f>'Anchov y SardC LTP'!J60</f>
        <v>0</v>
      </c>
      <c r="L49">
        <f>'Anchov y SardC LTP'!K60</f>
        <v>0</v>
      </c>
      <c r="M49" s="33">
        <f>'Anchov y SardC LTP'!L60</f>
        <v>0</v>
      </c>
      <c r="N49" s="68" t="s">
        <v>242</v>
      </c>
      <c r="O49" s="28">
        <f>RESUMEN!$B$3</f>
        <v>45483</v>
      </c>
      <c r="P49">
        <v>2024</v>
      </c>
    </row>
    <row r="50" spans="1:16">
      <c r="A50" t="s">
        <v>147</v>
      </c>
      <c r="B50" t="s">
        <v>182</v>
      </c>
      <c r="C50" t="s">
        <v>219</v>
      </c>
      <c r="D50" t="s">
        <v>220</v>
      </c>
      <c r="E50" t="str">
        <f>'Anchov y SardC LTP'!D61</f>
        <v>SIPESUR SpA</v>
      </c>
      <c r="F50" s="28">
        <v>45292</v>
      </c>
      <c r="G50" s="28">
        <v>45657</v>
      </c>
      <c r="H50">
        <f>'Anchov y SardC LTP'!G61</f>
        <v>431.51399999999995</v>
      </c>
      <c r="I50">
        <f>'Anchov y SardC LTP'!H61</f>
        <v>0</v>
      </c>
      <c r="J50">
        <f>'Anchov y SardC LTP'!I61</f>
        <v>431.51399999999995</v>
      </c>
      <c r="K50">
        <f>'Anchov y SardC LTP'!J61</f>
        <v>0</v>
      </c>
      <c r="L50">
        <f>'Anchov y SardC LTP'!K61</f>
        <v>431.51399999999995</v>
      </c>
      <c r="M50">
        <f>'Anchov y SardC LTP'!L61</f>
        <v>0</v>
      </c>
      <c r="N50" s="68" t="s">
        <v>242</v>
      </c>
      <c r="O50" s="28">
        <f>RESUMEN!$B$3</f>
        <v>45483</v>
      </c>
      <c r="P50">
        <v>2024</v>
      </c>
    </row>
    <row r="51" spans="1:16">
      <c r="A51" t="s">
        <v>147</v>
      </c>
      <c r="B51" t="s">
        <v>182</v>
      </c>
      <c r="C51" t="s">
        <v>219</v>
      </c>
      <c r="D51" t="s">
        <v>220</v>
      </c>
      <c r="E51" t="str">
        <f>'Anchov y SardC LTP'!D62</f>
        <v>SOC. PESQUERA MEHUIN REY LTDA.</v>
      </c>
      <c r="F51" s="28">
        <v>45292</v>
      </c>
      <c r="G51" s="28">
        <v>45657</v>
      </c>
      <c r="H51">
        <f>'Anchov y SardC LTP'!G62</f>
        <v>863.02800000000002</v>
      </c>
      <c r="I51">
        <f>'Anchov y SardC LTP'!H62</f>
        <v>-863.02800000000002</v>
      </c>
      <c r="J51">
        <f>'Anchov y SardC LTP'!I62</f>
        <v>0</v>
      </c>
      <c r="K51">
        <f>'Anchov y SardC LTP'!J62</f>
        <v>0</v>
      </c>
      <c r="L51">
        <f>'Anchov y SardC LTP'!K62</f>
        <v>0</v>
      </c>
      <c r="M51" s="33">
        <f>'Anchov y SardC LTP'!L62</f>
        <v>1</v>
      </c>
      <c r="N51" s="68" t="s">
        <v>242</v>
      </c>
      <c r="O51" s="28">
        <f>RESUMEN!$B$3</f>
        <v>45483</v>
      </c>
      <c r="P51">
        <v>2024</v>
      </c>
    </row>
    <row r="52" spans="1:16">
      <c r="A52" t="s">
        <v>147</v>
      </c>
      <c r="B52" t="s">
        <v>182</v>
      </c>
      <c r="C52" t="s">
        <v>219</v>
      </c>
      <c r="D52" t="s">
        <v>220</v>
      </c>
      <c r="E52" t="str">
        <f>'Anchov y SardC LTP'!D63</f>
        <v>SUSAN MONSALVE SALAS</v>
      </c>
      <c r="F52" s="28">
        <v>45292</v>
      </c>
      <c r="G52" s="28">
        <v>45657</v>
      </c>
      <c r="H52">
        <f>'Anchov y SardC LTP'!G63</f>
        <v>143.83799999999999</v>
      </c>
      <c r="I52">
        <f>'Anchov y SardC LTP'!H63</f>
        <v>-143.83799999999999</v>
      </c>
      <c r="J52">
        <f>'Anchov y SardC LTP'!I63</f>
        <v>0</v>
      </c>
      <c r="K52">
        <f>'Anchov y SardC LTP'!J63</f>
        <v>0</v>
      </c>
      <c r="L52">
        <f>'Anchov y SardC LTP'!K63</f>
        <v>0</v>
      </c>
      <c r="M52" s="33">
        <f>'Anchov y SardC LTP'!L63</f>
        <v>1</v>
      </c>
      <c r="N52" s="68" t="s">
        <v>242</v>
      </c>
      <c r="O52" s="28">
        <f>RESUMEN!$B$3</f>
        <v>45483</v>
      </c>
      <c r="P52">
        <v>2024</v>
      </c>
    </row>
    <row r="53" spans="1:16">
      <c r="A53" t="s">
        <v>147</v>
      </c>
      <c r="B53" t="s">
        <v>182</v>
      </c>
      <c r="C53" t="s">
        <v>219</v>
      </c>
      <c r="D53" t="s">
        <v>220</v>
      </c>
      <c r="E53" t="str">
        <f>'Anchov y SardC LTP'!D64</f>
        <v>THOR FISHERIES CHILE SpA</v>
      </c>
      <c r="F53" s="28">
        <v>45292</v>
      </c>
      <c r="G53" s="28">
        <v>45657</v>
      </c>
      <c r="H53">
        <f>'Anchov y SardC LTP'!G64</f>
        <v>0.63928000000000007</v>
      </c>
      <c r="I53">
        <f>'Anchov y SardC LTP'!H64</f>
        <v>1.2789999999999999</v>
      </c>
      <c r="J53">
        <f>'Anchov y SardC LTP'!I64</f>
        <v>1.91828</v>
      </c>
      <c r="K53">
        <f>'Anchov y SardC LTP'!J64</f>
        <v>0</v>
      </c>
      <c r="L53">
        <f>'Anchov y SardC LTP'!K64</f>
        <v>1.91828</v>
      </c>
      <c r="M53" s="33">
        <f>'Anchov y SardC LTP'!L64</f>
        <v>0</v>
      </c>
      <c r="N53" s="68" t="s">
        <v>242</v>
      </c>
      <c r="O53" s="28">
        <f>RESUMEN!$B$3</f>
        <v>45483</v>
      </c>
      <c r="P53">
        <v>2024</v>
      </c>
    </row>
    <row r="54" spans="1:16">
      <c r="A54" s="124" t="s">
        <v>147</v>
      </c>
      <c r="B54" s="124" t="s">
        <v>182</v>
      </c>
      <c r="C54" s="124" t="s">
        <v>219</v>
      </c>
      <c r="D54" s="124" t="s">
        <v>220</v>
      </c>
      <c r="E54" s="124" t="str">
        <f>'Anchov y SardC LTP'!D65</f>
        <v>TOTAL ASIGNATARIOS LTP</v>
      </c>
      <c r="F54" s="131">
        <v>45292</v>
      </c>
      <c r="G54" s="131">
        <v>45657</v>
      </c>
      <c r="H54" s="124">
        <f>'Anchov y SardC LTP'!G65</f>
        <v>63928.012785599996</v>
      </c>
      <c r="I54" s="124">
        <f>'Anchov y SardC LTP'!H65</f>
        <v>-45692.378999999994</v>
      </c>
      <c r="J54" s="124">
        <f>'Anchov y SardC LTP'!I65</f>
        <v>18235.633785600003</v>
      </c>
      <c r="K54" s="124">
        <f>'Anchov y SardC LTP'!J65</f>
        <v>393.95</v>
      </c>
      <c r="L54" s="124">
        <f>'Anchov y SardC LTP'!K65</f>
        <v>17841.683785600002</v>
      </c>
      <c r="M54" s="125">
        <f>'Anchov y SardC LTP'!L65</f>
        <v>0.71474736987745624</v>
      </c>
      <c r="N54" s="126" t="s">
        <v>242</v>
      </c>
      <c r="O54" s="28">
        <f>RESUMEN!$B$3</f>
        <v>45483</v>
      </c>
      <c r="P54">
        <v>2024</v>
      </c>
    </row>
    <row r="55" spans="1:16">
      <c r="A55" t="s">
        <v>217</v>
      </c>
      <c r="B55" t="s">
        <v>181</v>
      </c>
      <c r="C55" t="s">
        <v>233</v>
      </c>
      <c r="D55" t="s">
        <v>232</v>
      </c>
      <c r="E55" t="str">
        <f>Anchoveta!D7</f>
        <v>AG DEL PUERTO DE SAN ANTONIO. RAG 2510</v>
      </c>
      <c r="F55" s="28">
        <v>45292</v>
      </c>
      <c r="G55" s="28">
        <v>45657</v>
      </c>
      <c r="H55">
        <f>Anchoveta!F7</f>
        <v>12856.392</v>
      </c>
      <c r="I55">
        <f>Anchoveta!G7</f>
        <v>-10017.562</v>
      </c>
      <c r="J55">
        <f>Anchoveta!H7</f>
        <v>2838.83</v>
      </c>
      <c r="K55">
        <f>Anchoveta!I7</f>
        <v>0</v>
      </c>
      <c r="L55">
        <f>Anchoveta!K7</f>
        <v>2838.83</v>
      </c>
      <c r="M55" s="33">
        <f>Anchoveta!L7</f>
        <v>0.77918921576131162</v>
      </c>
      <c r="N55" s="100">
        <f>Anchoveta!M7</f>
        <v>0</v>
      </c>
      <c r="O55" s="28">
        <f>RESUMEN!$B$3</f>
        <v>45483</v>
      </c>
      <c r="P55">
        <v>2024</v>
      </c>
    </row>
    <row r="56" spans="1:16">
      <c r="A56" t="s">
        <v>217</v>
      </c>
      <c r="B56" t="s">
        <v>181</v>
      </c>
      <c r="C56" t="s">
        <v>233</v>
      </c>
      <c r="D56" t="s">
        <v>232</v>
      </c>
      <c r="E56" t="str">
        <f>Anchoveta!D8</f>
        <v>ASOCIACION GREMIAL AGRAPES DE SAN ANTONIO "AG AGRAPES" RAG 4399</v>
      </c>
      <c r="F56" s="28">
        <v>45292</v>
      </c>
      <c r="G56" s="28">
        <v>45657</v>
      </c>
      <c r="H56">
        <f>Anchoveta!F8</f>
        <v>224.52199999999999</v>
      </c>
      <c r="I56">
        <f>Anchoveta!G8</f>
        <v>-174.94499999999999</v>
      </c>
      <c r="J56">
        <f>Anchoveta!H8</f>
        <v>49.576999999999998</v>
      </c>
      <c r="K56">
        <f>Anchoveta!I8</f>
        <v>0</v>
      </c>
      <c r="L56">
        <f>Anchoveta!K8</f>
        <v>49.576999999999998</v>
      </c>
      <c r="M56" s="33">
        <f>Anchoveta!L8</f>
        <v>0.77918867638806</v>
      </c>
      <c r="N56" s="100">
        <f>Anchoveta!M8</f>
        <v>0</v>
      </c>
      <c r="O56" s="28">
        <f>RESUMEN!$B$3</f>
        <v>45483</v>
      </c>
      <c r="P56">
        <v>2024</v>
      </c>
    </row>
    <row r="57" spans="1:16">
      <c r="A57" t="s">
        <v>217</v>
      </c>
      <c r="B57" t="s">
        <v>181</v>
      </c>
      <c r="C57" t="s">
        <v>233</v>
      </c>
      <c r="D57" t="s">
        <v>232</v>
      </c>
      <c r="E57" t="str">
        <f>Anchoveta!D9</f>
        <v>Sindicato  de Trabajadores  Independientes de Pescadores Montemar, de la Comuna de San Antonio, provincia de San Antonio, V region. Registro Único Sindical  N° 05040117</v>
      </c>
      <c r="F57" s="28">
        <v>45292</v>
      </c>
      <c r="G57" s="28">
        <v>45657</v>
      </c>
      <c r="H57">
        <f>Anchoveta!F9</f>
        <v>9.9139999999999997</v>
      </c>
      <c r="I57">
        <f>Anchoveta!G9</f>
        <v>0</v>
      </c>
      <c r="J57">
        <f>Anchoveta!H9</f>
        <v>9.9139999999999997</v>
      </c>
      <c r="K57">
        <f>Anchoveta!I9</f>
        <v>0</v>
      </c>
      <c r="L57">
        <f>Anchoveta!K9</f>
        <v>9.9139999999999997</v>
      </c>
      <c r="M57" s="33">
        <f>Anchoveta!L9</f>
        <v>0</v>
      </c>
      <c r="N57" s="100" t="str">
        <f>Anchoveta!M9</f>
        <v>-</v>
      </c>
      <c r="O57" s="28">
        <f>RESUMEN!$B$3</f>
        <v>45483</v>
      </c>
      <c r="P57">
        <v>2024</v>
      </c>
    </row>
    <row r="58" spans="1:16">
      <c r="A58" t="s">
        <v>217</v>
      </c>
      <c r="B58" t="s">
        <v>181</v>
      </c>
      <c r="C58" t="s">
        <v>233</v>
      </c>
      <c r="D58" t="s">
        <v>232</v>
      </c>
      <c r="E58" t="str">
        <f>Anchoveta!D10</f>
        <v>Sindicato de Trabajadores Independientes Pescadores Artesanales de Caleta Higuerilla, Concon. Registro Unico Sindical N° 5060048</v>
      </c>
      <c r="F58" s="28">
        <v>45292</v>
      </c>
      <c r="G58" s="28">
        <v>45657</v>
      </c>
      <c r="H58">
        <f>Anchoveta!F10</f>
        <v>3.3000000000000002E-2</v>
      </c>
      <c r="I58">
        <f>Anchoveta!G10</f>
        <v>0</v>
      </c>
      <c r="J58">
        <f>Anchoveta!H10</f>
        <v>3.3000000000000002E-2</v>
      </c>
      <c r="K58">
        <f>Anchoveta!I10</f>
        <v>0</v>
      </c>
      <c r="L58">
        <f>Anchoveta!K10</f>
        <v>3.3000000000000002E-2</v>
      </c>
      <c r="M58" s="33">
        <f>Anchoveta!L10</f>
        <v>0</v>
      </c>
      <c r="N58" s="100" t="str">
        <f>Anchoveta!M10</f>
        <v>-</v>
      </c>
      <c r="O58" s="28">
        <f>RESUMEN!$B$3</f>
        <v>45483</v>
      </c>
      <c r="P58">
        <v>2024</v>
      </c>
    </row>
    <row r="59" spans="1:16">
      <c r="A59" t="s">
        <v>217</v>
      </c>
      <c r="B59" t="s">
        <v>181</v>
      </c>
      <c r="C59" t="s">
        <v>233</v>
      </c>
      <c r="D59" t="s">
        <v>232</v>
      </c>
      <c r="E59" t="str">
        <f>Anchoveta!D11</f>
        <v>STI MUELLE SUD AMERICANA. RSU 05.01.0462</v>
      </c>
      <c r="F59" s="28">
        <v>45292</v>
      </c>
      <c r="G59" s="28">
        <v>45657</v>
      </c>
      <c r="H59">
        <f>Anchoveta!F11</f>
        <v>0.19800000000000001</v>
      </c>
      <c r="I59">
        <f>Anchoveta!G11</f>
        <v>0</v>
      </c>
      <c r="J59">
        <f>Anchoveta!H11</f>
        <v>0.19800000000000001</v>
      </c>
      <c r="K59">
        <f>Anchoveta!I11</f>
        <v>0</v>
      </c>
      <c r="L59">
        <f>Anchoveta!K11</f>
        <v>0.19800000000000001</v>
      </c>
      <c r="M59" s="33">
        <f>Anchoveta!L11</f>
        <v>0</v>
      </c>
      <c r="N59" s="100" t="str">
        <f>Anchoveta!M11</f>
        <v>-</v>
      </c>
      <c r="O59" s="28">
        <f>RESUMEN!$B$3</f>
        <v>45483</v>
      </c>
      <c r="P59">
        <v>2024</v>
      </c>
    </row>
    <row r="60" spans="1:16">
      <c r="A60" t="s">
        <v>217</v>
      </c>
      <c r="B60" t="s">
        <v>181</v>
      </c>
      <c r="C60" t="s">
        <v>233</v>
      </c>
      <c r="D60" t="s">
        <v>232</v>
      </c>
      <c r="E60" t="str">
        <f>Anchoveta!D12</f>
        <v>Cuota Residual V</v>
      </c>
      <c r="F60" s="28">
        <v>45292</v>
      </c>
      <c r="G60" s="28">
        <v>45657</v>
      </c>
      <c r="H60">
        <f>Anchoveta!F12</f>
        <v>55.941000000000003</v>
      </c>
      <c r="I60">
        <f>Anchoveta!G12</f>
        <v>0</v>
      </c>
      <c r="J60">
        <f>Anchoveta!H12</f>
        <v>55.941000000000003</v>
      </c>
      <c r="K60">
        <f>Anchoveta!I12</f>
        <v>0</v>
      </c>
      <c r="L60">
        <f>Anchoveta!K12</f>
        <v>55.941000000000003</v>
      </c>
      <c r="M60" s="33">
        <f>Anchoveta!L12</f>
        <v>0</v>
      </c>
      <c r="N60" s="100" t="str">
        <f>Anchoveta!M12</f>
        <v>-</v>
      </c>
      <c r="O60" s="28">
        <f>RESUMEN!$B$3</f>
        <v>45483</v>
      </c>
      <c r="P60">
        <v>2024</v>
      </c>
    </row>
    <row r="61" spans="1:16">
      <c r="A61" s="124" t="s">
        <v>217</v>
      </c>
      <c r="B61" s="124" t="s">
        <v>181</v>
      </c>
      <c r="C61" s="124" t="s">
        <v>233</v>
      </c>
      <c r="D61" s="127" t="s">
        <v>328</v>
      </c>
      <c r="E61" s="124" t="str">
        <f>Anchoveta!D13</f>
        <v>Total Region Valparaíso</v>
      </c>
      <c r="F61" s="131">
        <v>45292</v>
      </c>
      <c r="G61" s="131">
        <v>45657</v>
      </c>
      <c r="H61" s="124">
        <f>Anchoveta!F13</f>
        <v>13147.000000000002</v>
      </c>
      <c r="I61" s="124">
        <f>Anchoveta!G13</f>
        <v>-10192.507</v>
      </c>
      <c r="J61" s="124">
        <f>Anchoveta!H13</f>
        <v>2954.4929999999999</v>
      </c>
      <c r="K61" s="124">
        <f>Anchoveta!I13</f>
        <v>0</v>
      </c>
      <c r="L61" s="124">
        <f>Anchoveta!K13</f>
        <v>2954.4929999999999</v>
      </c>
      <c r="M61" s="125">
        <f>Anchoveta!L13</f>
        <v>0</v>
      </c>
      <c r="N61" s="128" t="str">
        <f>Anchoveta!M13</f>
        <v>-</v>
      </c>
      <c r="O61" s="28">
        <f>RESUMEN!$B$3</f>
        <v>45483</v>
      </c>
      <c r="P61">
        <v>2024</v>
      </c>
    </row>
    <row r="62" spans="1:16">
      <c r="A62" t="s">
        <v>217</v>
      </c>
      <c r="B62" t="s">
        <v>181</v>
      </c>
      <c r="C62" t="s">
        <v>234</v>
      </c>
      <c r="D62" s="127" t="s">
        <v>328</v>
      </c>
      <c r="E62" t="str">
        <f>Anchoveta!D15</f>
        <v>Región de O´Higgins</v>
      </c>
      <c r="F62" s="28">
        <v>45292</v>
      </c>
      <c r="G62" s="28">
        <v>45657</v>
      </c>
      <c r="H62">
        <f>Anchoveta!F15</f>
        <v>85</v>
      </c>
      <c r="I62">
        <f>Anchoveta!G15</f>
        <v>0</v>
      </c>
      <c r="J62">
        <f>Anchoveta!H15</f>
        <v>85</v>
      </c>
      <c r="K62">
        <f>Anchoveta!I15</f>
        <v>0</v>
      </c>
      <c r="L62">
        <f>Anchoveta!K15</f>
        <v>85</v>
      </c>
      <c r="M62" s="33">
        <f>Anchoveta!L15</f>
        <v>0</v>
      </c>
      <c r="N62" s="100" t="str">
        <f>Anchoveta!M15</f>
        <v>-</v>
      </c>
      <c r="O62" s="28">
        <f>RESUMEN!$B$3</f>
        <v>45483</v>
      </c>
      <c r="P62">
        <v>2024</v>
      </c>
    </row>
    <row r="63" spans="1:16">
      <c r="A63" s="124" t="s">
        <v>217</v>
      </c>
      <c r="B63" s="124" t="s">
        <v>181</v>
      </c>
      <c r="C63" s="124" t="s">
        <v>234</v>
      </c>
      <c r="D63" s="127" t="s">
        <v>328</v>
      </c>
      <c r="E63" s="124" t="str">
        <f>Anchoveta!D16</f>
        <v>Total Región de O´Higgins</v>
      </c>
      <c r="F63" s="131">
        <v>45292</v>
      </c>
      <c r="G63" s="131">
        <v>45657</v>
      </c>
      <c r="H63" s="124">
        <f>Anchoveta!F16</f>
        <v>85</v>
      </c>
      <c r="I63" s="124">
        <f>Anchoveta!G16</f>
        <v>0</v>
      </c>
      <c r="J63" s="124">
        <f>Anchoveta!H16</f>
        <v>85</v>
      </c>
      <c r="K63" s="124">
        <f>Anchoveta!I16</f>
        <v>0</v>
      </c>
      <c r="L63" s="124">
        <f>Anchoveta!K16</f>
        <v>85</v>
      </c>
      <c r="M63" s="125">
        <f>Anchoveta!L16</f>
        <v>0</v>
      </c>
      <c r="N63" s="128" t="str">
        <f>Anchoveta!M16</f>
        <v>-</v>
      </c>
      <c r="O63" s="28">
        <f>RESUMEN!$B$3</f>
        <v>45483</v>
      </c>
      <c r="P63">
        <v>2024</v>
      </c>
    </row>
    <row r="64" spans="1:16">
      <c r="A64" t="s">
        <v>217</v>
      </c>
      <c r="B64" t="s">
        <v>181</v>
      </c>
      <c r="C64" t="s">
        <v>235</v>
      </c>
      <c r="D64" t="s">
        <v>232</v>
      </c>
      <c r="E64" t="str">
        <f>Anchoveta!D18</f>
        <v>Sindicato de Pescadores "Pelágicos del Maule" Constitución, Registro Sindical Único 07.05.0150</v>
      </c>
      <c r="F64" s="28">
        <v>45292</v>
      </c>
      <c r="G64" s="28">
        <v>45657</v>
      </c>
      <c r="H64">
        <f>Anchoveta!F18</f>
        <v>821.73699999999997</v>
      </c>
      <c r="I64">
        <f>Anchoveta!G18</f>
        <v>0</v>
      </c>
      <c r="J64">
        <f>Anchoveta!H18</f>
        <v>821.73699999999997</v>
      </c>
      <c r="K64">
        <f>Anchoveta!I18</f>
        <v>0</v>
      </c>
      <c r="L64">
        <f>Anchoveta!K18</f>
        <v>821.73699999999997</v>
      </c>
      <c r="M64" s="36">
        <f>Anchoveta!L18</f>
        <v>0</v>
      </c>
      <c r="N64" s="101" t="str">
        <f>Anchoveta!M18</f>
        <v>-</v>
      </c>
      <c r="O64" s="28">
        <f>RESUMEN!$B$3</f>
        <v>45483</v>
      </c>
      <c r="P64">
        <v>2024</v>
      </c>
    </row>
    <row r="65" spans="1:16">
      <c r="A65" t="s">
        <v>217</v>
      </c>
      <c r="B65" t="s">
        <v>181</v>
      </c>
      <c r="C65" t="s">
        <v>235</v>
      </c>
      <c r="D65" t="s">
        <v>232</v>
      </c>
      <c r="E65" t="str">
        <f>Anchoveta!D19</f>
        <v>STI Pescadores Artesanales de Constitución SIPARCON, RSU 07.05.0193</v>
      </c>
      <c r="F65" s="28">
        <v>45292</v>
      </c>
      <c r="G65" s="28">
        <v>45657</v>
      </c>
      <c r="H65">
        <f>Anchoveta!F19</f>
        <v>445.54399999999998</v>
      </c>
      <c r="I65">
        <f>Anchoveta!G19</f>
        <v>-347.23899999999998</v>
      </c>
      <c r="J65">
        <f>Anchoveta!H19</f>
        <v>98.305000000000007</v>
      </c>
      <c r="K65">
        <f>Anchoveta!I19</f>
        <v>0</v>
      </c>
      <c r="L65">
        <f>Anchoveta!K19</f>
        <v>98.305000000000007</v>
      </c>
      <c r="M65" s="36">
        <f>Anchoveta!L19</f>
        <v>0.77935961431418666</v>
      </c>
      <c r="N65" s="101" t="str">
        <f>Anchoveta!M19</f>
        <v>-</v>
      </c>
      <c r="O65" s="28">
        <f>RESUMEN!$B$3</f>
        <v>45483</v>
      </c>
      <c r="P65">
        <v>2024</v>
      </c>
    </row>
    <row r="66" spans="1:16">
      <c r="A66" t="s">
        <v>217</v>
      </c>
      <c r="B66" t="s">
        <v>181</v>
      </c>
      <c r="C66" t="s">
        <v>235</v>
      </c>
      <c r="D66" t="s">
        <v>232</v>
      </c>
      <c r="E66" t="str">
        <f>Anchoveta!D20</f>
        <v>Cuota Residual VII</v>
      </c>
      <c r="F66" s="28">
        <v>45292</v>
      </c>
      <c r="G66" s="28">
        <v>45657</v>
      </c>
      <c r="H66">
        <f>Anchoveta!F20</f>
        <v>137.71899999999999</v>
      </c>
      <c r="I66">
        <f>Anchoveta!G20</f>
        <v>0</v>
      </c>
      <c r="J66">
        <f>Anchoveta!H20</f>
        <v>137.71899999999999</v>
      </c>
      <c r="K66">
        <f>Anchoveta!I20</f>
        <v>0</v>
      </c>
      <c r="L66">
        <f>Anchoveta!K20</f>
        <v>137.71899999999999</v>
      </c>
      <c r="M66" s="36">
        <f>Anchoveta!L20</f>
        <v>0</v>
      </c>
      <c r="N66" s="101" t="str">
        <f>Anchoveta!M20</f>
        <v>-</v>
      </c>
      <c r="O66" s="28">
        <f>RESUMEN!$B$3</f>
        <v>45483</v>
      </c>
      <c r="P66">
        <v>2024</v>
      </c>
    </row>
    <row r="67" spans="1:16" s="124" customFormat="1">
      <c r="A67" s="124" t="s">
        <v>217</v>
      </c>
      <c r="B67" s="124" t="s">
        <v>181</v>
      </c>
      <c r="C67" s="124" t="s">
        <v>235</v>
      </c>
      <c r="D67" s="127" t="s">
        <v>328</v>
      </c>
      <c r="E67" s="124" t="str">
        <f>Anchoveta!D21</f>
        <v>Total Región del Maule</v>
      </c>
      <c r="F67" s="131">
        <v>45292</v>
      </c>
      <c r="G67" s="131">
        <v>45657</v>
      </c>
      <c r="H67" s="124">
        <f>Anchoveta!F21</f>
        <v>1405</v>
      </c>
      <c r="I67" s="124">
        <f>Anchoveta!G21</f>
        <v>-347.23899999999998</v>
      </c>
      <c r="J67" s="124">
        <f>Anchoveta!H21</f>
        <v>1057.761</v>
      </c>
      <c r="K67" s="124">
        <f>Anchoveta!I21</f>
        <v>0</v>
      </c>
      <c r="L67" s="124">
        <f>Anchoveta!K21</f>
        <v>1057.761</v>
      </c>
      <c r="M67" s="129">
        <f>Anchoveta!L21</f>
        <v>0</v>
      </c>
      <c r="N67" s="130" t="str">
        <f>Anchoveta!M21</f>
        <v>-</v>
      </c>
      <c r="O67" s="131">
        <f>RESUMEN!$B$3</f>
        <v>45483</v>
      </c>
      <c r="P67">
        <v>2024</v>
      </c>
    </row>
    <row r="68" spans="1:16">
      <c r="A68" t="s">
        <v>217</v>
      </c>
      <c r="B68" t="s">
        <v>181</v>
      </c>
      <c r="C68" t="s">
        <v>237</v>
      </c>
      <c r="D68" t="s">
        <v>232</v>
      </c>
      <c r="E68" t="str">
        <f>Anchoveta!D23</f>
        <v>Agrupación de Armadores Golfo de Arauco, Personalidad Jurídica N° 621</v>
      </c>
      <c r="F68" s="28">
        <v>45292</v>
      </c>
      <c r="G68" s="28">
        <v>45657</v>
      </c>
      <c r="H68">
        <f>Anchoveta!F23</f>
        <v>186.298</v>
      </c>
      <c r="I68">
        <f>Anchoveta!G23</f>
        <v>-57.6</v>
      </c>
      <c r="J68">
        <f>Anchoveta!H23</f>
        <v>128.69800000000001</v>
      </c>
      <c r="K68">
        <f>Anchoveta!I23</f>
        <v>6.88</v>
      </c>
      <c r="L68">
        <f>Anchoveta!K23</f>
        <v>121.81800000000001</v>
      </c>
      <c r="M68" s="36">
        <f>Anchoveta!L23</f>
        <v>5.3458484203328722E-2</v>
      </c>
      <c r="N68" s="101" t="str">
        <f>'IC Anch y SardC VIII'!O6</f>
        <v>-</v>
      </c>
      <c r="O68" s="28">
        <f>RESUMEN!$B$3</f>
        <v>45483</v>
      </c>
      <c r="P68">
        <v>2024</v>
      </c>
    </row>
    <row r="69" spans="1:16">
      <c r="A69" t="s">
        <v>217</v>
      </c>
      <c r="B69" t="s">
        <v>181</v>
      </c>
      <c r="C69" t="s">
        <v>237</v>
      </c>
      <c r="D69" t="s">
        <v>232</v>
      </c>
      <c r="E69" t="str">
        <f>Anchoveta!D24</f>
        <v>Agrupación de Armadores y Pescadores Artesanales Pelágicos Puerto Sur Isla Santa María. Personalidad Jurídica N° 1728</v>
      </c>
      <c r="F69" s="28">
        <v>45292</v>
      </c>
      <c r="G69" s="28">
        <v>45657</v>
      </c>
      <c r="H69">
        <f>Anchoveta!F24</f>
        <v>205.846</v>
      </c>
      <c r="I69">
        <f>Anchoveta!G24</f>
        <v>0</v>
      </c>
      <c r="J69">
        <f>Anchoveta!H24</f>
        <v>205.846</v>
      </c>
      <c r="K69">
        <f>Anchoveta!I24</f>
        <v>17.170999999999999</v>
      </c>
      <c r="L69">
        <f>Anchoveta!K24</f>
        <v>188.67500000000001</v>
      </c>
      <c r="M69" s="36">
        <f>Anchoveta!L24</f>
        <v>8.3416729011008231E-2</v>
      </c>
      <c r="N69" s="101" t="str">
        <f>'IC Anch y SardC VIII'!O7</f>
        <v>-</v>
      </c>
      <c r="O69" s="28">
        <f>RESUMEN!$B$3</f>
        <v>45483</v>
      </c>
      <c r="P69">
        <v>2024</v>
      </c>
    </row>
    <row r="70" spans="1:16">
      <c r="A70" t="s">
        <v>217</v>
      </c>
      <c r="B70" t="s">
        <v>181</v>
      </c>
      <c r="C70" t="s">
        <v>237</v>
      </c>
      <c r="D70" t="s">
        <v>232</v>
      </c>
      <c r="E70" t="str">
        <f>Anchoveta!D25</f>
        <v>Agrupación de Armadores y Pescadores Pelágicos de Caleta Tubul, Registro de Organización Comunitaria Funcional 478-2007</v>
      </c>
      <c r="F70" s="28">
        <v>45292</v>
      </c>
      <c r="G70" s="28">
        <v>45657</v>
      </c>
      <c r="H70">
        <f>Anchoveta!F25</f>
        <v>923.11</v>
      </c>
      <c r="I70">
        <f>Anchoveta!G25</f>
        <v>0</v>
      </c>
      <c r="J70">
        <f>Anchoveta!H25</f>
        <v>923.11</v>
      </c>
      <c r="K70">
        <f>Anchoveta!I25</f>
        <v>116.16199999999999</v>
      </c>
      <c r="L70">
        <f>Anchoveta!K25</f>
        <v>806.94799999999998</v>
      </c>
      <c r="M70" s="36">
        <f>Anchoveta!L25</f>
        <v>0.12583765748394016</v>
      </c>
      <c r="N70" s="101" t="str">
        <f>'IC Anch y SardC VIII'!O8</f>
        <v>-</v>
      </c>
      <c r="O70" s="28">
        <f>RESUMEN!$B$3</f>
        <v>45483</v>
      </c>
      <c r="P70">
        <v>2024</v>
      </c>
    </row>
    <row r="71" spans="1:16">
      <c r="A71" t="s">
        <v>217</v>
      </c>
      <c r="B71" t="s">
        <v>181</v>
      </c>
      <c r="C71" t="s">
        <v>237</v>
      </c>
      <c r="D71" t="s">
        <v>232</v>
      </c>
      <c r="E71" t="str">
        <f>Anchoveta!D26</f>
        <v>Agrupación Gremial de Productores Pelágicos, Armadores Artesanales de Talcahuano, Región del Bío Bío "AGREPAR BIO BIO A.G". Registro de Asociaciones Gremiales N° 468-8</v>
      </c>
      <c r="F71" s="28">
        <v>45292</v>
      </c>
      <c r="G71" s="28">
        <v>45657</v>
      </c>
      <c r="H71">
        <f>Anchoveta!F26</f>
        <v>1987.729</v>
      </c>
      <c r="I71">
        <f>Anchoveta!G26</f>
        <v>0</v>
      </c>
      <c r="J71">
        <f>Anchoveta!H26</f>
        <v>1987.729</v>
      </c>
      <c r="K71">
        <f>Anchoveta!I26</f>
        <v>289.899</v>
      </c>
      <c r="L71">
        <f>Anchoveta!K26</f>
        <v>1697.83</v>
      </c>
      <c r="M71" s="36">
        <f>Anchoveta!L26</f>
        <v>0.14584432787366888</v>
      </c>
      <c r="N71" s="101" t="str">
        <f>'IC Anch y SardC VIII'!O9</f>
        <v>-</v>
      </c>
      <c r="O71" s="28">
        <f>RESUMEN!$B$3</f>
        <v>45483</v>
      </c>
      <c r="P71">
        <v>2024</v>
      </c>
    </row>
    <row r="72" spans="1:16">
      <c r="A72" t="s">
        <v>217</v>
      </c>
      <c r="B72" t="s">
        <v>181</v>
      </c>
      <c r="C72" t="s">
        <v>237</v>
      </c>
      <c r="D72" t="s">
        <v>232</v>
      </c>
      <c r="E72" t="str">
        <f>Anchoveta!D27</f>
        <v>Asociación de Armadores, Pescadores Artesanales y Actividades Afines de la Octava Región, Asociación Gremial ARPESCA A.G., Registro de Asociaciones Gremiales 429-8</v>
      </c>
      <c r="F72" s="28">
        <v>45292</v>
      </c>
      <c r="G72" s="28">
        <v>45657</v>
      </c>
      <c r="H72">
        <f>Anchoveta!F27</f>
        <v>2612.1320000000001</v>
      </c>
      <c r="I72">
        <f>Anchoveta!G27</f>
        <v>-1381</v>
      </c>
      <c r="J72">
        <f>Anchoveta!H27</f>
        <v>1231.1320000000001</v>
      </c>
      <c r="K72">
        <f>Anchoveta!I27</f>
        <v>458.541</v>
      </c>
      <c r="L72">
        <f>Anchoveta!K27</f>
        <v>772.59100000000012</v>
      </c>
      <c r="M72" s="36">
        <f>Anchoveta!L27</f>
        <v>0.52868691168746451</v>
      </c>
      <c r="N72" s="101" t="str">
        <f>'IC Anch y SardC VIII'!O10</f>
        <v>-</v>
      </c>
      <c r="O72" s="28">
        <f>RESUMEN!$B$3</f>
        <v>45483</v>
      </c>
      <c r="P72">
        <v>2024</v>
      </c>
    </row>
    <row r="73" spans="1:16">
      <c r="A73" t="s">
        <v>217</v>
      </c>
      <c r="B73" t="s">
        <v>181</v>
      </c>
      <c r="C73" t="s">
        <v>237</v>
      </c>
      <c r="D73" t="s">
        <v>232</v>
      </c>
      <c r="E73" t="str">
        <f>Anchoveta!D28</f>
        <v>Asociación Gremial Armadores Artesanales Pelágico Coronel-Lota del Bío Bío, ARPES BIO BIO A.G., Registro de Asociaciones Gremiales 445-8</v>
      </c>
      <c r="F73" s="28">
        <v>45292</v>
      </c>
      <c r="G73" s="28">
        <v>45657</v>
      </c>
      <c r="H73">
        <f>Anchoveta!F28</f>
        <v>4515.1570000000002</v>
      </c>
      <c r="I73">
        <f>Anchoveta!G28</f>
        <v>-150</v>
      </c>
      <c r="J73">
        <f>Anchoveta!H28</f>
        <v>4365.1570000000002</v>
      </c>
      <c r="K73">
        <f>Anchoveta!I28</f>
        <v>1756.5420000000001</v>
      </c>
      <c r="L73">
        <f>Anchoveta!K28</f>
        <v>2608.6149999999998</v>
      </c>
      <c r="M73" s="36">
        <f>Anchoveta!L28</f>
        <v>0.40240064675795167</v>
      </c>
      <c r="N73" s="101" t="str">
        <f>'IC Anch y SardC VIII'!O11</f>
        <v>-</v>
      </c>
      <c r="O73" s="28">
        <f>RESUMEN!$B$3</f>
        <v>45483</v>
      </c>
      <c r="P73">
        <v>2024</v>
      </c>
    </row>
    <row r="74" spans="1:16">
      <c r="A74" t="s">
        <v>217</v>
      </c>
      <c r="B74" t="s">
        <v>181</v>
      </c>
      <c r="C74" t="s">
        <v>237</v>
      </c>
      <c r="D74" t="s">
        <v>232</v>
      </c>
      <c r="E74" t="str">
        <f>Anchoveta!D29</f>
        <v>Asociación Gremial de Armadores Artesanales "ARMAR A.G.". Registro de Asociaciones Gremiales 384-8</v>
      </c>
      <c r="F74" s="28">
        <v>45292</v>
      </c>
      <c r="G74" s="28">
        <v>45657</v>
      </c>
      <c r="H74">
        <f>Anchoveta!F29</f>
        <v>7507.3050000000003</v>
      </c>
      <c r="I74">
        <f>Anchoveta!G29</f>
        <v>95</v>
      </c>
      <c r="J74">
        <f>Anchoveta!H29</f>
        <v>7602.3050000000003</v>
      </c>
      <c r="K74">
        <f>Anchoveta!I29</f>
        <v>6564.2730000000001</v>
      </c>
      <c r="L74">
        <f>Anchoveta!K29</f>
        <v>1038.0320000000002</v>
      </c>
      <c r="M74" s="36">
        <f>Anchoveta!L29</f>
        <v>0.86345825377961027</v>
      </c>
      <c r="N74" s="101" t="str">
        <f>'IC Anch y SardC VIII'!O12</f>
        <v>-</v>
      </c>
      <c r="O74" s="28">
        <f>RESUMEN!$B$3</f>
        <v>45483</v>
      </c>
      <c r="P74">
        <v>2024</v>
      </c>
    </row>
    <row r="75" spans="1:16">
      <c r="A75" t="s">
        <v>217</v>
      </c>
      <c r="B75" t="s">
        <v>181</v>
      </c>
      <c r="C75" t="s">
        <v>237</v>
      </c>
      <c r="D75" t="s">
        <v>232</v>
      </c>
      <c r="E75" t="str">
        <f>Anchoveta!D30</f>
        <v xml:space="preserve">Asociación Gremial de Armadores Artesanales VALLEMAR LOTA, Registro de Asociaciones Gremiales 548-8 </v>
      </c>
      <c r="F75" s="28">
        <v>45292</v>
      </c>
      <c r="G75" s="28">
        <v>45657</v>
      </c>
      <c r="H75">
        <f>Anchoveta!F30</f>
        <v>2600.096</v>
      </c>
      <c r="I75">
        <f>Anchoveta!G30</f>
        <v>-20</v>
      </c>
      <c r="J75">
        <f>Anchoveta!H30</f>
        <v>2580.096</v>
      </c>
      <c r="K75">
        <f>Anchoveta!I30</f>
        <v>1661.049</v>
      </c>
      <c r="L75">
        <f>Anchoveta!K30</f>
        <v>919.04700000000003</v>
      </c>
      <c r="M75" s="36">
        <f>Anchoveta!L30</f>
        <v>0.64379348675398129</v>
      </c>
      <c r="N75" s="101" t="str">
        <f>'IC Anch y SardC VIII'!O13</f>
        <v>-</v>
      </c>
      <c r="O75" s="28">
        <f>RESUMEN!$B$3</f>
        <v>45483</v>
      </c>
      <c r="P75">
        <v>2024</v>
      </c>
    </row>
    <row r="76" spans="1:16">
      <c r="A76" t="s">
        <v>217</v>
      </c>
      <c r="B76" t="s">
        <v>181</v>
      </c>
      <c r="C76" t="s">
        <v>237</v>
      </c>
      <c r="D76" t="s">
        <v>232</v>
      </c>
      <c r="E76" t="str">
        <f>Anchoveta!D31</f>
        <v>Asociación Gremial de Armadores Artesanales y Productores Pelágicos de la Caleta el Morro de Talcahuano - AGEMAPAR, Registro de Asociaciones Gremiales 376-8</v>
      </c>
      <c r="F76" s="28">
        <v>45292</v>
      </c>
      <c r="G76" s="28">
        <v>45657</v>
      </c>
      <c r="H76">
        <f>Anchoveta!F31</f>
        <v>3101.04</v>
      </c>
      <c r="I76">
        <f>Anchoveta!G31</f>
        <v>0</v>
      </c>
      <c r="J76">
        <f>Anchoveta!H31</f>
        <v>3101.04</v>
      </c>
      <c r="K76">
        <f>Anchoveta!I31</f>
        <v>439.71300000000002</v>
      </c>
      <c r="L76">
        <f>Anchoveta!K31</f>
        <v>2661.3269999999998</v>
      </c>
      <c r="M76" s="36">
        <f>Anchoveta!L31</f>
        <v>0.14179533317854656</v>
      </c>
      <c r="N76" s="101" t="str">
        <f>'IC Anch y SardC VIII'!O14</f>
        <v>-</v>
      </c>
      <c r="O76" s="28">
        <f>RESUMEN!$B$3</f>
        <v>45483</v>
      </c>
      <c r="P76">
        <v>2024</v>
      </c>
    </row>
    <row r="77" spans="1:16">
      <c r="A77" t="s">
        <v>217</v>
      </c>
      <c r="B77" t="s">
        <v>181</v>
      </c>
      <c r="C77" t="s">
        <v>237</v>
      </c>
      <c r="D77" t="s">
        <v>232</v>
      </c>
      <c r="E77" t="str">
        <f>Anchoveta!D32</f>
        <v>Asociación Gremial de Armadores Embarcaciones Menores "AG MENOR COLIUMO". Registro de Asociaciones Gremiales 507-8</v>
      </c>
      <c r="F77" s="28">
        <v>45292</v>
      </c>
      <c r="G77" s="28">
        <v>45657</v>
      </c>
      <c r="H77">
        <f>Anchoveta!F32</f>
        <v>255.70500000000001</v>
      </c>
      <c r="I77">
        <f>Anchoveta!G32</f>
        <v>0</v>
      </c>
      <c r="J77">
        <f>Anchoveta!H32</f>
        <v>255.70500000000001</v>
      </c>
      <c r="K77">
        <f>Anchoveta!I32</f>
        <v>53.231000000000002</v>
      </c>
      <c r="L77">
        <f>Anchoveta!K32</f>
        <v>202.47400000000002</v>
      </c>
      <c r="M77" s="36">
        <f>Anchoveta!L32</f>
        <v>0.2081734811599304</v>
      </c>
      <c r="N77" s="101" t="str">
        <f>'IC Anch y SardC VIII'!O15</f>
        <v>-</v>
      </c>
      <c r="O77" s="28">
        <f>RESUMEN!$B$3</f>
        <v>45483</v>
      </c>
      <c r="P77">
        <v>2024</v>
      </c>
    </row>
    <row r="78" spans="1:16">
      <c r="A78" t="s">
        <v>217</v>
      </c>
      <c r="B78" t="s">
        <v>181</v>
      </c>
      <c r="C78" t="s">
        <v>237</v>
      </c>
      <c r="D78" t="s">
        <v>232</v>
      </c>
      <c r="E78" t="str">
        <f>Anchoveta!D33</f>
        <v>Asociación Gremial de Armadores Históricos del Biobío "ARHISPEL BIOBIO" RAG 701-8</v>
      </c>
      <c r="F78" s="28">
        <v>45292</v>
      </c>
      <c r="G78" s="28">
        <v>45657</v>
      </c>
      <c r="H78">
        <f>Anchoveta!F33</f>
        <v>1021.377</v>
      </c>
      <c r="I78">
        <f>Anchoveta!G33</f>
        <v>0</v>
      </c>
      <c r="J78">
        <f>Anchoveta!H33</f>
        <v>1021.377</v>
      </c>
      <c r="K78">
        <f>Anchoveta!I33</f>
        <v>751.09899999999993</v>
      </c>
      <c r="L78">
        <f>Anchoveta!K33</f>
        <v>270.27800000000002</v>
      </c>
      <c r="M78" s="36">
        <f>Anchoveta!L33</f>
        <v>0.73537880723768012</v>
      </c>
      <c r="N78" s="101" t="str">
        <f>'IC Anch y SardC VIII'!O16</f>
        <v>-</v>
      </c>
      <c r="O78" s="28">
        <f>RESUMEN!$B$3</f>
        <v>45483</v>
      </c>
      <c r="P78">
        <v>2024</v>
      </c>
    </row>
    <row r="79" spans="1:16">
      <c r="A79" t="s">
        <v>217</v>
      </c>
      <c r="B79" t="s">
        <v>181</v>
      </c>
      <c r="C79" t="s">
        <v>237</v>
      </c>
      <c r="D79" t="s">
        <v>232</v>
      </c>
      <c r="E79" t="str">
        <f>Anchoveta!D34</f>
        <v>Asociación Gremial de Armadores y Pescadores Artesanales  Miramar BioBio " MIRAMAR BIOBIO  A.G." Registro de Organizaciones Gremiales 633-8</v>
      </c>
      <c r="F79" s="28">
        <v>45292</v>
      </c>
      <c r="G79" s="28">
        <v>45657</v>
      </c>
      <c r="H79">
        <f>Anchoveta!F34</f>
        <v>2546.569</v>
      </c>
      <c r="I79">
        <f>Anchoveta!G34</f>
        <v>-75</v>
      </c>
      <c r="J79">
        <f>Anchoveta!H34</f>
        <v>2471.569</v>
      </c>
      <c r="K79">
        <f>Anchoveta!I34</f>
        <v>1358.3249999999998</v>
      </c>
      <c r="L79">
        <f>Anchoveta!K34</f>
        <v>1113.2440000000001</v>
      </c>
      <c r="M79" s="36">
        <f>Anchoveta!L34</f>
        <v>0.54958004409344829</v>
      </c>
      <c r="N79" s="101" t="str">
        <f>'IC Anch y SardC VIII'!O17</f>
        <v>-</v>
      </c>
      <c r="O79" s="28">
        <f>RESUMEN!$B$3</f>
        <v>45483</v>
      </c>
      <c r="P79">
        <v>2024</v>
      </c>
    </row>
    <row r="80" spans="1:16">
      <c r="A80" t="s">
        <v>217</v>
      </c>
      <c r="B80" t="s">
        <v>181</v>
      </c>
      <c r="C80" t="s">
        <v>237</v>
      </c>
      <c r="D80" t="s">
        <v>232</v>
      </c>
      <c r="E80" t="str">
        <f>Anchoveta!D35</f>
        <v>Asociación Gremial de Armadores, Pescadores Artesanales y Actividades Afines, SIMBA A.G. Registro de Asociaciones Gremiales RAG N° 679-8</v>
      </c>
      <c r="F80" s="28">
        <v>45292</v>
      </c>
      <c r="G80" s="28">
        <v>45657</v>
      </c>
      <c r="H80">
        <f>Anchoveta!F35</f>
        <v>3980.875</v>
      </c>
      <c r="I80">
        <f>Anchoveta!G35</f>
        <v>74.944999999999993</v>
      </c>
      <c r="J80">
        <f>Anchoveta!H35</f>
        <v>4055.82</v>
      </c>
      <c r="K80">
        <f>Anchoveta!I35</f>
        <v>1798.674</v>
      </c>
      <c r="L80">
        <f>Anchoveta!K35</f>
        <v>2257.1460000000002</v>
      </c>
      <c r="M80" s="36">
        <f>Anchoveta!L35</f>
        <v>0.4434797402251579</v>
      </c>
      <c r="N80" s="101" t="str">
        <f>'IC Anch y SardC VIII'!O18</f>
        <v>-</v>
      </c>
      <c r="O80" s="28">
        <f>RESUMEN!$B$3</f>
        <v>45483</v>
      </c>
      <c r="P80">
        <v>2024</v>
      </c>
    </row>
    <row r="81" spans="1:16">
      <c r="A81" t="s">
        <v>217</v>
      </c>
      <c r="B81" t="s">
        <v>181</v>
      </c>
      <c r="C81" t="s">
        <v>237</v>
      </c>
      <c r="D81" t="s">
        <v>232</v>
      </c>
      <c r="E81" t="str">
        <f>Anchoveta!D36</f>
        <v>Asociación Gremial de Armadores, Pescadores Artesanales y Actividades Afines de Lota, Octava región, Registro de Asociaciones Gremiales 577-8</v>
      </c>
      <c r="F81" s="28">
        <v>45292</v>
      </c>
      <c r="G81" s="28">
        <v>45657</v>
      </c>
      <c r="H81">
        <f>Anchoveta!F36</f>
        <v>2208.7460000000001</v>
      </c>
      <c r="I81">
        <f>Anchoveta!G36</f>
        <v>733</v>
      </c>
      <c r="J81">
        <f>Anchoveta!H36</f>
        <v>2941.7460000000001</v>
      </c>
      <c r="K81">
        <f>Anchoveta!I36</f>
        <v>1540.1290000000001</v>
      </c>
      <c r="L81">
        <f>Anchoveta!K36</f>
        <v>1401.617</v>
      </c>
      <c r="M81" s="36">
        <f>Anchoveta!L36</f>
        <v>0.52354248123393388</v>
      </c>
      <c r="N81" s="101" t="str">
        <f>'IC Anch y SardC VIII'!O19</f>
        <v>-</v>
      </c>
      <c r="O81" s="28">
        <f>RESUMEN!$B$3</f>
        <v>45483</v>
      </c>
      <c r="P81">
        <v>2024</v>
      </c>
    </row>
    <row r="82" spans="1:16">
      <c r="A82" t="s">
        <v>217</v>
      </c>
      <c r="B82" t="s">
        <v>181</v>
      </c>
      <c r="C82" t="s">
        <v>237</v>
      </c>
      <c r="D82" t="s">
        <v>232</v>
      </c>
      <c r="E82" t="str">
        <f>Anchoveta!D37</f>
        <v>Asociación Gremial de Armadores, Pescadores Artesanales y Actividades Afines, CHALLWAFE A.G. Registro de Asociaciones Gremiales RAG N° 674-8</v>
      </c>
      <c r="F82" s="28">
        <v>45292</v>
      </c>
      <c r="G82" s="28">
        <v>45657</v>
      </c>
      <c r="H82">
        <f>Anchoveta!F37</f>
        <v>2061.63</v>
      </c>
      <c r="I82">
        <f>Anchoveta!G37</f>
        <v>-104.9</v>
      </c>
      <c r="J82">
        <f>Anchoveta!H37</f>
        <v>1956.73</v>
      </c>
      <c r="K82">
        <f>Anchoveta!I37</f>
        <v>1347.403</v>
      </c>
      <c r="L82">
        <f>Anchoveta!K37</f>
        <v>609.327</v>
      </c>
      <c r="M82" s="36">
        <f>Anchoveta!L37</f>
        <v>0.68859934686952207</v>
      </c>
      <c r="N82" s="101" t="str">
        <f>'IC Anch y SardC VIII'!O20</f>
        <v>-</v>
      </c>
      <c r="O82" s="28">
        <f>RESUMEN!$B$3</f>
        <v>45483</v>
      </c>
      <c r="P82">
        <v>2024</v>
      </c>
    </row>
    <row r="83" spans="1:16">
      <c r="A83" t="s">
        <v>217</v>
      </c>
      <c r="B83" t="s">
        <v>181</v>
      </c>
      <c r="C83" t="s">
        <v>237</v>
      </c>
      <c r="D83" t="s">
        <v>232</v>
      </c>
      <c r="E83" t="str">
        <f>Anchoveta!D38</f>
        <v>Asociación Gremial de Armadores, Pescadores Artesanales y Actividades Afines, de las Caletas de Coronel y Lota de la Región del Biobío PESCA SUR A.G. Registro de Asociaciones Gremiales RAG N° 680-8</v>
      </c>
      <c r="F83" s="28">
        <v>45292</v>
      </c>
      <c r="G83" s="28">
        <v>45657</v>
      </c>
      <c r="H83">
        <f>Anchoveta!F38</f>
        <v>242.02</v>
      </c>
      <c r="I83">
        <f>Anchoveta!G38</f>
        <v>1827.6</v>
      </c>
      <c r="J83">
        <f>Anchoveta!H38</f>
        <v>2069.62</v>
      </c>
      <c r="K83">
        <f>Anchoveta!I38</f>
        <v>2267.672</v>
      </c>
      <c r="L83">
        <f>Anchoveta!K38</f>
        <v>-198.05200000000013</v>
      </c>
      <c r="M83" s="36">
        <f>Anchoveta!L38</f>
        <v>1.0956948618586988</v>
      </c>
      <c r="N83" s="101" t="str">
        <f>'IC Anch y SardC VIII'!O21</f>
        <v>-</v>
      </c>
      <c r="O83" s="28">
        <f>RESUMEN!$B$3</f>
        <v>45483</v>
      </c>
      <c r="P83">
        <v>2024</v>
      </c>
    </row>
    <row r="84" spans="1:16">
      <c r="A84" t="s">
        <v>217</v>
      </c>
      <c r="B84" t="s">
        <v>181</v>
      </c>
      <c r="C84" t="s">
        <v>237</v>
      </c>
      <c r="D84" t="s">
        <v>232</v>
      </c>
      <c r="E84" t="str">
        <f>Anchoveta!D39</f>
        <v>Asociacion Gremial de Armadores, Pescadores artesanales, Buzos mariscadores, Recolectores de orilla y Ramos afines "A.G. ESCAFANDRAS CON HISTORIA DE TALCAHUANO" Registro Asociaciones Gremiales 62-8</v>
      </c>
      <c r="F84" s="28">
        <v>45292</v>
      </c>
      <c r="G84" s="28">
        <v>45657</v>
      </c>
      <c r="H84">
        <f>Anchoveta!F39</f>
        <v>749.59100000000001</v>
      </c>
      <c r="I84">
        <f>Anchoveta!G39</f>
        <v>-100</v>
      </c>
      <c r="J84">
        <f>Anchoveta!H39</f>
        <v>649.59100000000001</v>
      </c>
      <c r="K84">
        <f>Anchoveta!I39</f>
        <v>179.97699999999995</v>
      </c>
      <c r="L84">
        <f>Anchoveta!K39</f>
        <v>469.61400000000003</v>
      </c>
      <c r="M84" s="36">
        <f>Anchoveta!L39</f>
        <v>0.27706202826085946</v>
      </c>
      <c r="N84" s="101" t="str">
        <f>'IC Anch y SardC VIII'!O22</f>
        <v>-</v>
      </c>
      <c r="O84" s="28">
        <f>RESUMEN!$B$3</f>
        <v>45483</v>
      </c>
      <c r="P84">
        <v>2024</v>
      </c>
    </row>
    <row r="85" spans="1:16">
      <c r="A85" t="s">
        <v>217</v>
      </c>
      <c r="B85" t="s">
        <v>181</v>
      </c>
      <c r="C85" t="s">
        <v>237</v>
      </c>
      <c r="D85" t="s">
        <v>232</v>
      </c>
      <c r="E85" t="str">
        <f>Anchoveta!D40</f>
        <v>Asociación Gremial de Pescadores Artesanales BLUE A.G. – BLUE A.G. Registro de Asociaciones Gremiales RAG N° 661-8</v>
      </c>
      <c r="F85" s="28">
        <v>45292</v>
      </c>
      <c r="G85" s="28">
        <v>45657</v>
      </c>
      <c r="H85">
        <f>Anchoveta!F40</f>
        <v>2831.2080000000001</v>
      </c>
      <c r="I85">
        <f>Anchoveta!G40</f>
        <v>-1226</v>
      </c>
      <c r="J85">
        <f>Anchoveta!H40</f>
        <v>1605.2080000000001</v>
      </c>
      <c r="K85">
        <f>Anchoveta!I40</f>
        <v>822.18700000000001</v>
      </c>
      <c r="L85">
        <f>Anchoveta!K40</f>
        <v>783.02100000000007</v>
      </c>
      <c r="M85" s="36">
        <f>Anchoveta!L40</f>
        <v>0.5121996650901316</v>
      </c>
      <c r="N85" s="101" t="str">
        <f>'IC Anch y SardC VIII'!O23</f>
        <v>-</v>
      </c>
      <c r="O85" s="28">
        <f>RESUMEN!$B$3</f>
        <v>45483</v>
      </c>
      <c r="P85">
        <v>2024</v>
      </c>
    </row>
    <row r="86" spans="1:16">
      <c r="A86" t="s">
        <v>217</v>
      </c>
      <c r="B86" t="s">
        <v>181</v>
      </c>
      <c r="C86" t="s">
        <v>237</v>
      </c>
      <c r="D86" t="s">
        <v>232</v>
      </c>
      <c r="E86" t="str">
        <f>Anchoveta!D41</f>
        <v>Asociación Gremial de Pescadores Artesanales de caleta INFIERNILLO, Registro de Asociaciones Gremiales 98-8</v>
      </c>
      <c r="F86" s="28">
        <v>45292</v>
      </c>
      <c r="G86" s="28">
        <v>45657</v>
      </c>
      <c r="H86">
        <f>Anchoveta!F41</f>
        <v>49.139000000000003</v>
      </c>
      <c r="I86">
        <f>Anchoveta!G41</f>
        <v>0</v>
      </c>
      <c r="J86">
        <f>Anchoveta!H41</f>
        <v>49.139000000000003</v>
      </c>
      <c r="K86">
        <f>Anchoveta!I41</f>
        <v>26.437000000000001</v>
      </c>
      <c r="L86">
        <f>Anchoveta!K41</f>
        <v>22.702000000000002</v>
      </c>
      <c r="M86" s="36">
        <f>Anchoveta!L41</f>
        <v>0.53800443639471707</v>
      </c>
      <c r="N86" s="101" t="str">
        <f>'IC Anch y SardC VIII'!O24</f>
        <v>-</v>
      </c>
      <c r="O86" s="28">
        <f>RESUMEN!$B$3</f>
        <v>45483</v>
      </c>
      <c r="P86">
        <v>2024</v>
      </c>
    </row>
    <row r="87" spans="1:16">
      <c r="A87" t="s">
        <v>217</v>
      </c>
      <c r="B87" t="s">
        <v>181</v>
      </c>
      <c r="C87" t="s">
        <v>237</v>
      </c>
      <c r="D87" t="s">
        <v>232</v>
      </c>
      <c r="E87" t="str">
        <f>Anchoveta!D42</f>
        <v>Asociación Gremial de Pescadores Artesanales de Coronel, Registro de Asociaciones Gremiales 5-8</v>
      </c>
      <c r="F87" s="28">
        <v>45292</v>
      </c>
      <c r="G87" s="28">
        <v>45657</v>
      </c>
      <c r="H87">
        <f>Anchoveta!F42</f>
        <v>16252.052</v>
      </c>
      <c r="I87">
        <f>Anchoveta!G42</f>
        <v>3871.55</v>
      </c>
      <c r="J87">
        <f>Anchoveta!H42</f>
        <v>20123.601999999999</v>
      </c>
      <c r="K87">
        <f>Anchoveta!I42</f>
        <v>13283.222000000002</v>
      </c>
      <c r="L87">
        <f>Anchoveta!K42</f>
        <v>6840.3799999999974</v>
      </c>
      <c r="M87" s="36">
        <f>Anchoveta!L42</f>
        <v>0.66008172890718086</v>
      </c>
      <c r="N87" s="101" t="str">
        <f>'IC Anch y SardC VIII'!O25</f>
        <v>-</v>
      </c>
      <c r="O87" s="28">
        <f>RESUMEN!$B$3</f>
        <v>45483</v>
      </c>
      <c r="P87">
        <v>2024</v>
      </c>
    </row>
    <row r="88" spans="1:16">
      <c r="A88" t="s">
        <v>217</v>
      </c>
      <c r="B88" t="s">
        <v>181</v>
      </c>
      <c r="C88" t="s">
        <v>237</v>
      </c>
      <c r="D88" t="s">
        <v>232</v>
      </c>
      <c r="E88" t="str">
        <f>Anchoveta!D43</f>
        <v>Asociación Gremial de Pescadores Artesanales de Lota - A.G. APESCA Lota, Registro de Asociaciones Gremiales 428-8</v>
      </c>
      <c r="F88" s="28">
        <v>45292</v>
      </c>
      <c r="G88" s="28">
        <v>45657</v>
      </c>
      <c r="H88">
        <f>Anchoveta!F43</f>
        <v>187.953</v>
      </c>
      <c r="I88">
        <f>Anchoveta!G43</f>
        <v>0</v>
      </c>
      <c r="J88">
        <f>Anchoveta!H43</f>
        <v>187.953</v>
      </c>
      <c r="K88">
        <f>Anchoveta!I43</f>
        <v>73.931000000000012</v>
      </c>
      <c r="L88">
        <f>Anchoveta!K43</f>
        <v>114.02199999999999</v>
      </c>
      <c r="M88" s="36">
        <f>Anchoveta!L43</f>
        <v>0.39334833708427114</v>
      </c>
      <c r="N88" s="101" t="str">
        <f>'IC Anch y SardC VIII'!O26</f>
        <v>-</v>
      </c>
      <c r="O88" s="28">
        <f>RESUMEN!$B$3</f>
        <v>45483</v>
      </c>
      <c r="P88">
        <v>2024</v>
      </c>
    </row>
    <row r="89" spans="1:16">
      <c r="A89" t="s">
        <v>217</v>
      </c>
      <c r="B89" t="s">
        <v>181</v>
      </c>
      <c r="C89" t="s">
        <v>237</v>
      </c>
      <c r="D89" t="s">
        <v>232</v>
      </c>
      <c r="E89" t="str">
        <f>Anchoveta!D44</f>
        <v>Asociación Gremial de Pescadores Artesanales de San Vicente – Talcahuano, Registro de Asociaciones Gremiales 18-8</v>
      </c>
      <c r="F89" s="28">
        <v>45292</v>
      </c>
      <c r="G89" s="28">
        <v>45657</v>
      </c>
      <c r="H89">
        <f>Anchoveta!F44</f>
        <v>3510.9389999999999</v>
      </c>
      <c r="I89">
        <f>Anchoveta!G44</f>
        <v>-250</v>
      </c>
      <c r="J89">
        <f>Anchoveta!H44</f>
        <v>3260.9389999999999</v>
      </c>
      <c r="K89">
        <f>Anchoveta!I44</f>
        <v>670.15300000000013</v>
      </c>
      <c r="L89">
        <f>Anchoveta!K44</f>
        <v>2590.7859999999996</v>
      </c>
      <c r="M89" s="36">
        <f>Anchoveta!L44</f>
        <v>0.2055092106905404</v>
      </c>
      <c r="N89" s="101" t="str">
        <f>'IC Anch y SardC VIII'!O27</f>
        <v>-</v>
      </c>
      <c r="O89" s="28">
        <f>RESUMEN!$B$3</f>
        <v>45483</v>
      </c>
      <c r="P89">
        <v>2024</v>
      </c>
    </row>
    <row r="90" spans="1:16">
      <c r="A90" t="s">
        <v>217</v>
      </c>
      <c r="B90" t="s">
        <v>181</v>
      </c>
      <c r="C90" t="s">
        <v>237</v>
      </c>
      <c r="D90" t="s">
        <v>232</v>
      </c>
      <c r="E90" t="str">
        <f>Anchoveta!D45</f>
        <v>Asociación Gremial de Pescadores Artesanales, Armadores Artesanales Pelágicos y actividades Afines de la Caleta de LOTA VIII Región A.G.-SIERRA AZUL A.G., Registro de Asociaciones Gremiales 576-8</v>
      </c>
      <c r="F90" s="28">
        <v>45292</v>
      </c>
      <c r="G90" s="28">
        <v>45657</v>
      </c>
      <c r="H90">
        <f>Anchoveta!F45</f>
        <v>1977.444</v>
      </c>
      <c r="I90">
        <f>Anchoveta!G45</f>
        <v>0</v>
      </c>
      <c r="J90">
        <f>Anchoveta!H45</f>
        <v>1977.444</v>
      </c>
      <c r="K90">
        <f>Anchoveta!I45</f>
        <v>933.90499999999997</v>
      </c>
      <c r="L90">
        <f>Anchoveta!K45</f>
        <v>1043.539</v>
      </c>
      <c r="M90" s="36">
        <f>Anchoveta!L45</f>
        <v>0.47227886099429361</v>
      </c>
      <c r="N90" s="101" t="str">
        <f>'IC Anch y SardC VIII'!O28</f>
        <v>-</v>
      </c>
      <c r="O90" s="28">
        <f>RESUMEN!$B$3</f>
        <v>45483</v>
      </c>
      <c r="P90">
        <v>2024</v>
      </c>
    </row>
    <row r="91" spans="1:16">
      <c r="A91" t="s">
        <v>217</v>
      </c>
      <c r="B91" t="s">
        <v>181</v>
      </c>
      <c r="C91" t="s">
        <v>237</v>
      </c>
      <c r="D91" t="s">
        <v>232</v>
      </c>
      <c r="E91" t="str">
        <f>Anchoveta!D46</f>
        <v>Asociación Gremial de Pescadores y Armadores Artesanales Pelágicos de la Región del Bío Bío, "PESCA MAR A.G.", Registro de Asociaciones Gremiales 450-8</v>
      </c>
      <c r="F91" s="28">
        <v>45292</v>
      </c>
      <c r="G91" s="28">
        <v>45657</v>
      </c>
      <c r="H91">
        <f>Anchoveta!F46</f>
        <v>1876.3150000000001</v>
      </c>
      <c r="I91">
        <f>Anchoveta!G46</f>
        <v>0</v>
      </c>
      <c r="J91">
        <f>Anchoveta!H46</f>
        <v>1876.3150000000001</v>
      </c>
      <c r="K91">
        <f>Anchoveta!I46</f>
        <v>504.25700000000001</v>
      </c>
      <c r="L91">
        <f>Anchoveta!K46</f>
        <v>1372.058</v>
      </c>
      <c r="M91" s="36">
        <f>Anchoveta!L46</f>
        <v>0.26874858432619259</v>
      </c>
      <c r="N91" s="101" t="str">
        <f>'IC Anch y SardC VIII'!O29</f>
        <v>-</v>
      </c>
      <c r="O91" s="28">
        <f>RESUMEN!$B$3</f>
        <v>45483</v>
      </c>
      <c r="P91">
        <v>2024</v>
      </c>
    </row>
    <row r="92" spans="1:16">
      <c r="A92" t="s">
        <v>217</v>
      </c>
      <c r="B92" t="s">
        <v>181</v>
      </c>
      <c r="C92" t="s">
        <v>237</v>
      </c>
      <c r="D92" t="s">
        <v>232</v>
      </c>
      <c r="E92" t="str">
        <f>Anchoveta!D47</f>
        <v>Asociación Gremial de Pescadores y Armadores Artesanales Pelágicos Región Bío Bío A.G. ALTAMAR, Registro de Asociaciones Gremiales  555-8</v>
      </c>
      <c r="F92" s="28">
        <v>45292</v>
      </c>
      <c r="G92" s="28">
        <v>45657</v>
      </c>
      <c r="H92">
        <f>Anchoveta!F47</f>
        <v>4177.4589999999998</v>
      </c>
      <c r="I92">
        <f>Anchoveta!G47</f>
        <v>0</v>
      </c>
      <c r="J92">
        <f>Anchoveta!H47</f>
        <v>4177.4589999999998</v>
      </c>
      <c r="K92">
        <f>Anchoveta!I47</f>
        <v>1933.575</v>
      </c>
      <c r="L92">
        <f>Anchoveta!K47</f>
        <v>2243.884</v>
      </c>
      <c r="M92" s="36">
        <f>Anchoveta!L47</f>
        <v>0.46285912081961789</v>
      </c>
      <c r="N92" s="101" t="str">
        <f>'IC Anch y SardC VIII'!O30</f>
        <v>-</v>
      </c>
      <c r="O92" s="28">
        <f>RESUMEN!$B$3</f>
        <v>45483</v>
      </c>
      <c r="P92">
        <v>2024</v>
      </c>
    </row>
    <row r="93" spans="1:16">
      <c r="A93" t="s">
        <v>217</v>
      </c>
      <c r="B93" t="s">
        <v>181</v>
      </c>
      <c r="C93" t="s">
        <v>237</v>
      </c>
      <c r="D93" t="s">
        <v>232</v>
      </c>
      <c r="E93" t="str">
        <f>Anchoveta!D48</f>
        <v>Asociación Gremial de Productores Pelágicos Artesanales de las Caletas de Talcahuano y San Vicente de la VIII Región GEMAR A.G., Registro de Asociaciones Gremiales 464-8</v>
      </c>
      <c r="F93" s="28">
        <v>45292</v>
      </c>
      <c r="G93" s="28">
        <v>45657</v>
      </c>
      <c r="H93">
        <f>Anchoveta!F48</f>
        <v>2976.7750000000001</v>
      </c>
      <c r="I93">
        <f>Anchoveta!G48</f>
        <v>0</v>
      </c>
      <c r="J93">
        <f>Anchoveta!H48</f>
        <v>2976.7750000000001</v>
      </c>
      <c r="K93">
        <f>Anchoveta!I48</f>
        <v>1837.3560000000004</v>
      </c>
      <c r="L93">
        <f>Anchoveta!K48</f>
        <v>1139.4189999999996</v>
      </c>
      <c r="M93" s="36">
        <f>Anchoveta!L48</f>
        <v>0.61723039195102092</v>
      </c>
      <c r="N93" s="101" t="str">
        <f>'IC Anch y SardC VIII'!O31</f>
        <v>-</v>
      </c>
      <c r="O93" s="28">
        <f>RESUMEN!$B$3</f>
        <v>45483</v>
      </c>
      <c r="P93">
        <v>2024</v>
      </c>
    </row>
    <row r="94" spans="1:16">
      <c r="A94" t="s">
        <v>217</v>
      </c>
      <c r="B94" t="s">
        <v>181</v>
      </c>
      <c r="C94" t="s">
        <v>237</v>
      </c>
      <c r="D94" t="s">
        <v>232</v>
      </c>
      <c r="E94" t="str">
        <f>Anchoveta!D49</f>
        <v>Cooperativa de Pescadores y Armadores Artesanales de Lota "GEVIMAR". Registro de Cooperativa Rol 4465</v>
      </c>
      <c r="F94" s="28">
        <v>45292</v>
      </c>
      <c r="G94" s="28">
        <v>45657</v>
      </c>
      <c r="H94">
        <f>Anchoveta!F49</f>
        <v>2568.3670000000002</v>
      </c>
      <c r="I94">
        <f>Anchoveta!G49</f>
        <v>0</v>
      </c>
      <c r="J94">
        <f>Anchoveta!H49</f>
        <v>2568.3670000000002</v>
      </c>
      <c r="K94">
        <f>Anchoveta!I49</f>
        <v>1567.7820000000002</v>
      </c>
      <c r="L94">
        <f>Anchoveta!K49</f>
        <v>1000.585</v>
      </c>
      <c r="M94" s="36">
        <f>Anchoveta!L49</f>
        <v>0.6104197725636562</v>
      </c>
      <c r="N94" s="101" t="str">
        <f>'IC Anch y SardC VIII'!O33</f>
        <v>-</v>
      </c>
      <c r="O94" s="28">
        <f>RESUMEN!$B$3</f>
        <v>45483</v>
      </c>
      <c r="P94">
        <v>2024</v>
      </c>
    </row>
    <row r="95" spans="1:16">
      <c r="A95" t="s">
        <v>217</v>
      </c>
      <c r="B95" t="s">
        <v>181</v>
      </c>
      <c r="C95" t="s">
        <v>237</v>
      </c>
      <c r="D95" t="s">
        <v>232</v>
      </c>
      <c r="E95" t="str">
        <f>Anchoveta!D50</f>
        <v>Corporación Nacional de Pescadores Artesanales Armadores Punta Puchoco, Chile. Per. Jur. N°351649, ROA N°97276</v>
      </c>
      <c r="F95" s="28">
        <v>45292</v>
      </c>
      <c r="G95" s="28">
        <v>45657</v>
      </c>
      <c r="H95">
        <f>Anchoveta!F50</f>
        <v>393.39299999999997</v>
      </c>
      <c r="I95">
        <f>Anchoveta!G50</f>
        <v>0</v>
      </c>
      <c r="J95">
        <f>Anchoveta!H50</f>
        <v>393.39299999999997</v>
      </c>
      <c r="K95">
        <f>Anchoveta!I50</f>
        <v>10.430999999999999</v>
      </c>
      <c r="L95">
        <f>Anchoveta!K50</f>
        <v>382.96199999999999</v>
      </c>
      <c r="M95" s="36">
        <f>Anchoveta!L50</f>
        <v>2.6515469263560867E-2</v>
      </c>
      <c r="N95" s="101" t="str">
        <f>'IC Anch y SardC VIII'!O33</f>
        <v>-</v>
      </c>
      <c r="O95" s="28">
        <f>RESUMEN!$B$3</f>
        <v>45483</v>
      </c>
      <c r="P95">
        <v>2024</v>
      </c>
    </row>
    <row r="96" spans="1:16">
      <c r="A96" t="s">
        <v>217</v>
      </c>
      <c r="B96" t="s">
        <v>181</v>
      </c>
      <c r="C96" t="s">
        <v>237</v>
      </c>
      <c r="D96" t="s">
        <v>232</v>
      </c>
      <c r="E96" t="str">
        <f>Anchoveta!D51</f>
        <v>Sindicato de  Pescadores Artesanales, Armadores Pelágicos y Actividades Conexas de la Caleta Vegas de Coliumo. Registro Sindical Único 08.06.0113</v>
      </c>
      <c r="F96" s="28">
        <v>45292</v>
      </c>
      <c r="G96" s="28">
        <v>45657</v>
      </c>
      <c r="H96">
        <f>Anchoveta!F51</f>
        <v>1800.2860000000001</v>
      </c>
      <c r="I96">
        <f>Anchoveta!G51</f>
        <v>0</v>
      </c>
      <c r="J96">
        <f>Anchoveta!H51</f>
        <v>1800.2860000000001</v>
      </c>
      <c r="K96">
        <f>Anchoveta!I51</f>
        <v>237.18599999999998</v>
      </c>
      <c r="L96">
        <f>Anchoveta!K51</f>
        <v>1563.1000000000001</v>
      </c>
      <c r="M96" s="36">
        <f>Anchoveta!L51</f>
        <v>0.13174906653720575</v>
      </c>
      <c r="N96" s="101" t="str">
        <f>'IC Anch y SardC VIII'!O34</f>
        <v>-</v>
      </c>
      <c r="O96" s="28">
        <f>RESUMEN!$B$3</f>
        <v>45483</v>
      </c>
      <c r="P96">
        <v>2024</v>
      </c>
    </row>
    <row r="97" spans="1:16">
      <c r="A97" t="s">
        <v>217</v>
      </c>
      <c r="B97" t="s">
        <v>181</v>
      </c>
      <c r="C97" t="s">
        <v>237</v>
      </c>
      <c r="D97" t="s">
        <v>232</v>
      </c>
      <c r="E97" t="str">
        <f>Anchoveta!D52</f>
        <v>Sindicato de Armadores y Pescadores Mares Profundo. Registro Sindical Unico 08.04.0179</v>
      </c>
      <c r="F97" s="28">
        <v>45292</v>
      </c>
      <c r="G97" s="28">
        <v>45657</v>
      </c>
      <c r="H97">
        <f>Anchoveta!F52</f>
        <v>122.875</v>
      </c>
      <c r="I97">
        <f>Anchoveta!G52</f>
        <v>-95.740000000000009</v>
      </c>
      <c r="J97">
        <f>Anchoveta!H52</f>
        <v>27.134999999999991</v>
      </c>
      <c r="K97">
        <f>Anchoveta!I52</f>
        <v>0</v>
      </c>
      <c r="L97">
        <f>Anchoveta!K52</f>
        <v>27.134999999999991</v>
      </c>
      <c r="M97" s="36">
        <f>Anchoveta!L52</f>
        <v>0.77916581892166847</v>
      </c>
      <c r="N97" s="101" t="str">
        <f>'IC Anch y SardC VIII'!O35</f>
        <v>-</v>
      </c>
      <c r="O97" s="28">
        <f>RESUMEN!$B$3</f>
        <v>45483</v>
      </c>
      <c r="P97">
        <v>2024</v>
      </c>
    </row>
    <row r="98" spans="1:16">
      <c r="A98" t="s">
        <v>217</v>
      </c>
      <c r="B98" t="s">
        <v>181</v>
      </c>
      <c r="C98" t="s">
        <v>237</v>
      </c>
      <c r="D98" t="s">
        <v>232</v>
      </c>
      <c r="E98" t="str">
        <f>Anchoveta!D53</f>
        <v>Sindicato de Pescadores Artesanales y Armadores Artesanales de la Octava Región "SPAADA SD". Registro Sindical Único 08.05.0339</v>
      </c>
      <c r="F98" s="28">
        <v>45292</v>
      </c>
      <c r="G98" s="28">
        <v>45657</v>
      </c>
      <c r="H98">
        <f>Anchoveta!F53</f>
        <v>2996.0010000000002</v>
      </c>
      <c r="I98">
        <f>Anchoveta!G53</f>
        <v>-480</v>
      </c>
      <c r="J98">
        <f>Anchoveta!H53</f>
        <v>2516.0010000000002</v>
      </c>
      <c r="K98">
        <f>Anchoveta!I53</f>
        <v>273.94499999999999</v>
      </c>
      <c r="L98">
        <f>Anchoveta!K53</f>
        <v>2242.056</v>
      </c>
      <c r="M98" s="36">
        <f>Anchoveta!L53</f>
        <v>0.10888111729685321</v>
      </c>
      <c r="N98" s="101" t="str">
        <f>'IC Anch y SardC VIII'!O36</f>
        <v>-</v>
      </c>
      <c r="O98" s="28">
        <f>RESUMEN!$B$3</f>
        <v>45483</v>
      </c>
      <c r="P98">
        <v>2024</v>
      </c>
    </row>
    <row r="99" spans="1:16">
      <c r="A99" t="s">
        <v>217</v>
      </c>
      <c r="B99" t="s">
        <v>181</v>
      </c>
      <c r="C99" t="s">
        <v>237</v>
      </c>
      <c r="D99" t="s">
        <v>232</v>
      </c>
      <c r="E99" t="str">
        <f>Anchoveta!D54</f>
        <v>Sindicato de Pescadores y Armadores Artesanales del Mar "SIPARMAR - Talcahuano". Registro Sindical Único 08.05.0399</v>
      </c>
      <c r="F99" s="28">
        <v>45292</v>
      </c>
      <c r="G99" s="28">
        <v>45657</v>
      </c>
      <c r="H99">
        <f>Anchoveta!F54</f>
        <v>2858.5039999999999</v>
      </c>
      <c r="I99">
        <f>Anchoveta!G54</f>
        <v>-315</v>
      </c>
      <c r="J99">
        <f>Anchoveta!H54</f>
        <v>2543.5039999999999</v>
      </c>
      <c r="K99">
        <f>Anchoveta!I54</f>
        <v>1021.3339999999999</v>
      </c>
      <c r="L99">
        <f>Anchoveta!K54</f>
        <v>1522.17</v>
      </c>
      <c r="M99" s="36">
        <f>Anchoveta!L54</f>
        <v>0.4015460561493121</v>
      </c>
      <c r="N99" s="101" t="str">
        <f>'IC Anch y SardC VIII'!O37</f>
        <v>-</v>
      </c>
      <c r="O99" s="28">
        <f>RESUMEN!$B$3</f>
        <v>45483</v>
      </c>
      <c r="P99">
        <v>2024</v>
      </c>
    </row>
    <row r="100" spans="1:16">
      <c r="A100" t="s">
        <v>217</v>
      </c>
      <c r="B100" t="s">
        <v>181</v>
      </c>
      <c r="C100" t="s">
        <v>237</v>
      </c>
      <c r="D100" t="s">
        <v>232</v>
      </c>
      <c r="E100" t="str">
        <f>Anchoveta!D55</f>
        <v>Sindicato de Pescadores y Armadores Independientes de Embarcaciones Menores Artesanales de la Caleta Tumbes "SIPESAR" (RSU N° 08.05.0696)</v>
      </c>
      <c r="F100" s="28">
        <v>45292</v>
      </c>
      <c r="G100" s="28">
        <v>45657</v>
      </c>
      <c r="H100">
        <f>Anchoveta!F55</f>
        <v>423.45800000000003</v>
      </c>
      <c r="I100">
        <f>Anchoveta!G55</f>
        <v>0</v>
      </c>
      <c r="J100">
        <f>Anchoveta!H55</f>
        <v>423.45800000000003</v>
      </c>
      <c r="K100">
        <f>Anchoveta!I55</f>
        <v>97.847999999999999</v>
      </c>
      <c r="L100">
        <f>Anchoveta!K55</f>
        <v>325.61</v>
      </c>
      <c r="M100" s="36">
        <f>Anchoveta!L55</f>
        <v>0.23106896079422279</v>
      </c>
      <c r="N100" s="101" t="str">
        <f>'IC Anch y SardC VIII'!O38</f>
        <v>-</v>
      </c>
      <c r="O100" s="28">
        <f>RESUMEN!$B$3</f>
        <v>45483</v>
      </c>
      <c r="P100">
        <v>2024</v>
      </c>
    </row>
    <row r="101" spans="1:16">
      <c r="A101" t="s">
        <v>217</v>
      </c>
      <c r="B101" t="s">
        <v>181</v>
      </c>
      <c r="C101" t="s">
        <v>237</v>
      </c>
      <c r="D101" t="s">
        <v>232</v>
      </c>
      <c r="E101" t="str">
        <f>Anchoveta!D56</f>
        <v>Sindicato de Trabajadores Independientes "Brisas del Mar". Registro Sindical Único 08.04.0115</v>
      </c>
      <c r="F101" s="28">
        <v>45292</v>
      </c>
      <c r="G101" s="28">
        <v>45657</v>
      </c>
      <c r="H101">
        <f>Anchoveta!F56</f>
        <v>1.4E-2</v>
      </c>
      <c r="I101">
        <f>Anchoveta!G56</f>
        <v>0</v>
      </c>
      <c r="J101">
        <f>Anchoveta!H56</f>
        <v>1.4E-2</v>
      </c>
      <c r="K101">
        <f>Anchoveta!I56</f>
        <v>0</v>
      </c>
      <c r="L101">
        <f>Anchoveta!K56</f>
        <v>1.4E-2</v>
      </c>
      <c r="M101" s="36">
        <f>Anchoveta!L56</f>
        <v>0</v>
      </c>
      <c r="N101" s="101" t="str">
        <f>'IC Anch y SardC VIII'!O39</f>
        <v>-</v>
      </c>
      <c r="O101" s="28">
        <f>RESUMEN!$B$3</f>
        <v>45483</v>
      </c>
      <c r="P101">
        <v>2024</v>
      </c>
    </row>
    <row r="102" spans="1:16">
      <c r="A102" t="s">
        <v>217</v>
      </c>
      <c r="B102" t="s">
        <v>181</v>
      </c>
      <c r="C102" t="s">
        <v>237</v>
      </c>
      <c r="D102" t="s">
        <v>232</v>
      </c>
      <c r="E102" t="str">
        <f>Anchoveta!D57</f>
        <v>Sindicato de Trabajadores Independientes Armadores  y Pescadores Artesanales, Buzos Mariscadores, Algueros acuicultores y Actividades conexas de la Región del Bio Bio (BIO BIO PESCA), Registro Sindical Único 08.05.0555</v>
      </c>
      <c r="F102" s="28">
        <v>45292</v>
      </c>
      <c r="G102" s="28">
        <v>45657</v>
      </c>
      <c r="H102">
        <f>Anchoveta!F57</f>
        <v>473.16899999999998</v>
      </c>
      <c r="I102">
        <f>Anchoveta!G57</f>
        <v>14.700000000000003</v>
      </c>
      <c r="J102">
        <f>Anchoveta!H57</f>
        <v>487.86899999999997</v>
      </c>
      <c r="K102">
        <f>Anchoveta!I57</f>
        <v>106.76599999999999</v>
      </c>
      <c r="L102">
        <f>Anchoveta!K57</f>
        <v>381.10299999999995</v>
      </c>
      <c r="M102" s="36">
        <f>Anchoveta!L57</f>
        <v>0.21884153328045028</v>
      </c>
      <c r="N102" s="101" t="str">
        <f>'IC Anch y SardC VIII'!O40</f>
        <v>-</v>
      </c>
      <c r="O102" s="28">
        <f>RESUMEN!$B$3</f>
        <v>45483</v>
      </c>
      <c r="P102">
        <v>2024</v>
      </c>
    </row>
    <row r="103" spans="1:16">
      <c r="A103" t="s">
        <v>217</v>
      </c>
      <c r="B103" t="s">
        <v>181</v>
      </c>
      <c r="C103" t="s">
        <v>237</v>
      </c>
      <c r="D103" t="s">
        <v>232</v>
      </c>
      <c r="E103" t="str">
        <f>Anchoveta!D58</f>
        <v>Sindicato de Trabajadores Independientes Armadores Pescadores Artesanales, Algueros y Ramos Afines "MEDITERRANEO". Registro Sindical Único 08.05.0605</v>
      </c>
      <c r="F103" s="28">
        <v>45292</v>
      </c>
      <c r="G103" s="28">
        <v>45657</v>
      </c>
      <c r="H103">
        <f>Anchoveta!F58</f>
        <v>1500.9839999999999</v>
      </c>
      <c r="I103">
        <f>Anchoveta!G58</f>
        <v>-240</v>
      </c>
      <c r="J103">
        <f>Anchoveta!H58</f>
        <v>1260.9839999999999</v>
      </c>
      <c r="K103">
        <f>Anchoveta!I58</f>
        <v>128.60600000000002</v>
      </c>
      <c r="L103">
        <f>Anchoveta!K58</f>
        <v>1132.3779999999999</v>
      </c>
      <c r="M103" s="36">
        <f>Anchoveta!L58</f>
        <v>0.10198860572378399</v>
      </c>
      <c r="N103" s="101" t="str">
        <f>'IC Anch y SardC VIII'!O41</f>
        <v>-</v>
      </c>
      <c r="O103" s="28">
        <f>RESUMEN!$B$3</f>
        <v>45483</v>
      </c>
      <c r="P103">
        <v>2024</v>
      </c>
    </row>
    <row r="104" spans="1:16">
      <c r="A104" t="s">
        <v>217</v>
      </c>
      <c r="B104" t="s">
        <v>181</v>
      </c>
      <c r="C104" t="s">
        <v>237</v>
      </c>
      <c r="D104" t="s">
        <v>232</v>
      </c>
      <c r="E104" t="str">
        <f>Anchoveta!D59</f>
        <v>Sindicato de Trabajadores Independientes Armadores Pescadores del Mar "SIARPEMAR". Registro Sindical Único 08.05.0459.</v>
      </c>
      <c r="F104" s="28">
        <v>45292</v>
      </c>
      <c r="G104" s="28">
        <v>45657</v>
      </c>
      <c r="H104">
        <f>Anchoveta!F59</f>
        <v>502.738</v>
      </c>
      <c r="I104">
        <f>Anchoveta!G59</f>
        <v>-24.461000000000013</v>
      </c>
      <c r="J104">
        <f>Anchoveta!H59</f>
        <v>478.27699999999999</v>
      </c>
      <c r="K104">
        <f>Anchoveta!I59</f>
        <v>83.331999999999994</v>
      </c>
      <c r="L104">
        <f>Anchoveta!K59</f>
        <v>394.94499999999999</v>
      </c>
      <c r="M104" s="36">
        <f>Anchoveta!L59</f>
        <v>0.17423375993409676</v>
      </c>
      <c r="N104" s="101" t="str">
        <f>'IC Anch y SardC VIII'!O42</f>
        <v>-</v>
      </c>
      <c r="O104" s="28">
        <f>RESUMEN!$B$3</f>
        <v>45483</v>
      </c>
      <c r="P104">
        <v>2024</v>
      </c>
    </row>
    <row r="105" spans="1:16">
      <c r="A105" t="s">
        <v>217</v>
      </c>
      <c r="B105" t="s">
        <v>181</v>
      </c>
      <c r="C105" t="s">
        <v>237</v>
      </c>
      <c r="D105" t="s">
        <v>232</v>
      </c>
      <c r="E105" t="str">
        <f>Anchoveta!D60</f>
        <v>Sindicato de Trabajadores Independientes Armadores y Pescadores Artesanales y Ramos Afines  Caleta La Gloria comuna de Talcahuano, Registro Sindical Único 08.05.0603</v>
      </c>
      <c r="F105" s="28">
        <v>45292</v>
      </c>
      <c r="G105" s="28">
        <v>45657</v>
      </c>
      <c r="H105">
        <f>Anchoveta!F60</f>
        <v>2578.6779999999999</v>
      </c>
      <c r="I105">
        <f>Anchoveta!G60</f>
        <v>290</v>
      </c>
      <c r="J105">
        <f>Anchoveta!H60</f>
        <v>2868.6779999999999</v>
      </c>
      <c r="K105">
        <f>Anchoveta!I60</f>
        <v>972.99400000000003</v>
      </c>
      <c r="L105">
        <f>Anchoveta!K60</f>
        <v>1895.6839999999997</v>
      </c>
      <c r="M105" s="36">
        <f>Anchoveta!L60</f>
        <v>0.33917853450265245</v>
      </c>
      <c r="N105" s="101" t="str">
        <f>'IC Anch y SardC VIII'!O43</f>
        <v>-</v>
      </c>
      <c r="O105" s="28">
        <f>RESUMEN!$B$3</f>
        <v>45483</v>
      </c>
      <c r="P105">
        <v>2024</v>
      </c>
    </row>
    <row r="106" spans="1:16">
      <c r="A106" t="s">
        <v>217</v>
      </c>
      <c r="B106" t="s">
        <v>181</v>
      </c>
      <c r="C106" t="s">
        <v>237</v>
      </c>
      <c r="D106" t="s">
        <v>232</v>
      </c>
      <c r="E106" t="str">
        <f>Anchoveta!D61</f>
        <v>Sindicato de Trabajadores Independientes Armadores y Pescadores y Ramos Afines de la Pesca Artesanal de la Caleta Lo Rojas "SITRAL", Registro Sindical Único 08.07.0322</v>
      </c>
      <c r="F106" s="28">
        <v>45292</v>
      </c>
      <c r="G106" s="28">
        <v>45657</v>
      </c>
      <c r="H106">
        <f>Anchoveta!F61</f>
        <v>864.62300000000005</v>
      </c>
      <c r="I106">
        <f>Anchoveta!G61</f>
        <v>0</v>
      </c>
      <c r="J106">
        <f>Anchoveta!H61</f>
        <v>864.62300000000005</v>
      </c>
      <c r="K106">
        <f>Anchoveta!I61</f>
        <v>172.81299999999999</v>
      </c>
      <c r="L106">
        <f>Anchoveta!K61</f>
        <v>691.81000000000006</v>
      </c>
      <c r="M106" s="36">
        <f>Anchoveta!L61</f>
        <v>0.19987092640376208</v>
      </c>
      <c r="N106" s="101" t="str">
        <f>'IC Anch y SardC VIII'!O44</f>
        <v>-</v>
      </c>
      <c r="O106" s="28">
        <f>RESUMEN!$B$3</f>
        <v>45483</v>
      </c>
      <c r="P106">
        <v>2024</v>
      </c>
    </row>
    <row r="107" spans="1:16">
      <c r="A107" t="s">
        <v>217</v>
      </c>
      <c r="B107" t="s">
        <v>181</v>
      </c>
      <c r="C107" t="s">
        <v>237</v>
      </c>
      <c r="D107" t="s">
        <v>232</v>
      </c>
      <c r="E107" t="str">
        <f>Anchoveta!D62</f>
        <v>Sindicato de Trabajadores Independientes Armadores, Pescadores y Ramos Afines de la Pesca Artesanal de la Región del  Bio-Bio, "SARPAR BIO-BIO". Registro Sindical Único 08.05.0378</v>
      </c>
      <c r="F107" s="28">
        <v>45292</v>
      </c>
      <c r="G107" s="28">
        <v>45657</v>
      </c>
      <c r="H107">
        <f>Anchoveta!F62</f>
        <v>810.00400000000002</v>
      </c>
      <c r="I107">
        <f>Anchoveta!G62</f>
        <v>0</v>
      </c>
      <c r="J107">
        <f>Anchoveta!H62</f>
        <v>810.00400000000002</v>
      </c>
      <c r="K107">
        <f>Anchoveta!I62</f>
        <v>56.554000000000002</v>
      </c>
      <c r="L107">
        <f>Anchoveta!K62</f>
        <v>753.45</v>
      </c>
      <c r="M107" s="36">
        <f>Anchoveta!L62</f>
        <v>6.9819408299218275E-2</v>
      </c>
      <c r="N107" s="101" t="str">
        <f>'IC Anch y SardC VIII'!O45</f>
        <v>-</v>
      </c>
      <c r="O107" s="28">
        <f>RESUMEN!$B$3</f>
        <v>45483</v>
      </c>
      <c r="P107">
        <v>2024</v>
      </c>
    </row>
    <row r="108" spans="1:16">
      <c r="A108" t="s">
        <v>217</v>
      </c>
      <c r="B108" t="s">
        <v>181</v>
      </c>
      <c r="C108" t="s">
        <v>237</v>
      </c>
      <c r="D108" t="s">
        <v>232</v>
      </c>
      <c r="E108" t="str">
        <f>Anchoveta!D63</f>
        <v>Sindicato de Trabajadores Independientes de armadores y pescadores Artesanales y Ramas afines, "MAR CANTABRICO" Registro Sindical Único 08.05.0718</v>
      </c>
      <c r="F108" s="28">
        <v>45292</v>
      </c>
      <c r="G108" s="28">
        <v>45657</v>
      </c>
      <c r="H108">
        <f>Anchoveta!F63</f>
        <v>839.64700000000005</v>
      </c>
      <c r="I108">
        <f>Anchoveta!G63</f>
        <v>-350</v>
      </c>
      <c r="J108">
        <f>Anchoveta!H63</f>
        <v>489.64700000000005</v>
      </c>
      <c r="K108">
        <f>Anchoveta!I63</f>
        <v>54.338000000000001</v>
      </c>
      <c r="L108">
        <f>Anchoveta!K63</f>
        <v>435.30900000000003</v>
      </c>
      <c r="M108" s="36">
        <f>Anchoveta!L63</f>
        <v>0.11097382399973858</v>
      </c>
      <c r="N108" s="101" t="str">
        <f>'IC Anch y SardC VIII'!O46</f>
        <v>-</v>
      </c>
      <c r="O108" s="28">
        <f>RESUMEN!$B$3</f>
        <v>45483</v>
      </c>
      <c r="P108">
        <v>2024</v>
      </c>
    </row>
    <row r="109" spans="1:16">
      <c r="A109" t="s">
        <v>217</v>
      </c>
      <c r="B109" t="s">
        <v>181</v>
      </c>
      <c r="C109" t="s">
        <v>237</v>
      </c>
      <c r="D109" t="s">
        <v>232</v>
      </c>
      <c r="E109" t="str">
        <f>Anchoveta!D64</f>
        <v>Sindicato de Trabajadores Independientes de Armadores y Pescadores Artesanales y Ramas afines, Registro Sindical Único 08.05.0512</v>
      </c>
      <c r="F109" s="28">
        <v>45292</v>
      </c>
      <c r="G109" s="28">
        <v>45657</v>
      </c>
      <c r="H109">
        <f>Anchoveta!F64</f>
        <v>837.60299999999995</v>
      </c>
      <c r="I109">
        <f>Anchoveta!G64</f>
        <v>-630.12900000000002</v>
      </c>
      <c r="J109">
        <f>Anchoveta!H64</f>
        <v>207.47399999999993</v>
      </c>
      <c r="K109">
        <f>Anchoveta!I64</f>
        <v>22.536000000000001</v>
      </c>
      <c r="L109">
        <f>Anchoveta!K64</f>
        <v>184.93799999999993</v>
      </c>
      <c r="M109" s="36">
        <f>Anchoveta!L64</f>
        <v>0.10862083923768766</v>
      </c>
      <c r="N109" s="101" t="str">
        <f>'IC Anch y SardC VIII'!O47</f>
        <v>-</v>
      </c>
      <c r="O109" s="28">
        <f>RESUMEN!$B$3</f>
        <v>45483</v>
      </c>
      <c r="P109">
        <v>2024</v>
      </c>
    </row>
    <row r="110" spans="1:16">
      <c r="A110" t="s">
        <v>217</v>
      </c>
      <c r="B110" t="s">
        <v>181</v>
      </c>
      <c r="C110" t="s">
        <v>237</v>
      </c>
      <c r="D110" t="s">
        <v>232</v>
      </c>
      <c r="E110" t="str">
        <f>Anchoveta!D65</f>
        <v>Sindicato de Trabajadores Independientes de la Pesca Artesanal de la Peninsula de Hualpen. Registro Sindical Único 08.05.0502</v>
      </c>
      <c r="F110" s="28">
        <v>45292</v>
      </c>
      <c r="G110" s="28">
        <v>45657</v>
      </c>
      <c r="H110">
        <f>Anchoveta!F65</f>
        <v>91.545000000000002</v>
      </c>
      <c r="I110">
        <f>Anchoveta!G65</f>
        <v>-70</v>
      </c>
      <c r="J110">
        <f>Anchoveta!H65</f>
        <v>21.545000000000002</v>
      </c>
      <c r="K110">
        <f>Anchoveta!I65</f>
        <v>0</v>
      </c>
      <c r="L110">
        <f>Anchoveta!K65</f>
        <v>21.545000000000002</v>
      </c>
      <c r="M110" s="36">
        <f>Anchoveta!L65</f>
        <v>0</v>
      </c>
      <c r="N110" s="101" t="str">
        <f>'IC Anch y SardC VIII'!O48</f>
        <v>-</v>
      </c>
      <c r="O110" s="28">
        <f>RESUMEN!$B$3</f>
        <v>45483</v>
      </c>
      <c r="P110">
        <v>2024</v>
      </c>
    </row>
    <row r="111" spans="1:16">
      <c r="A111" t="s">
        <v>217</v>
      </c>
      <c r="B111" t="s">
        <v>181</v>
      </c>
      <c r="C111" t="s">
        <v>237</v>
      </c>
      <c r="D111" t="s">
        <v>232</v>
      </c>
      <c r="E111" t="str">
        <f>Anchoveta!D66</f>
        <v>Sindicato de Trabajadores Independientes de la Pesca Artesanal, Armadores Artesanales Pelágicos Actividades Afines y Actividades Conexas de la Comuna de Talcahuano, "MAR AZUL".  Registro Sindical Único 08.05.0434</v>
      </c>
      <c r="F111" s="28">
        <v>45292</v>
      </c>
      <c r="G111" s="28">
        <v>45657</v>
      </c>
      <c r="H111">
        <f>Anchoveta!F66</f>
        <v>1168.229</v>
      </c>
      <c r="I111">
        <f>Anchoveta!G66</f>
        <v>-650</v>
      </c>
      <c r="J111">
        <f>Anchoveta!H66</f>
        <v>518.22900000000004</v>
      </c>
      <c r="K111">
        <f>Anchoveta!I66</f>
        <v>52.243999999999993</v>
      </c>
      <c r="L111">
        <f>Anchoveta!K66</f>
        <v>465.98500000000007</v>
      </c>
      <c r="M111" s="36">
        <f>Anchoveta!L66</f>
        <v>0.10081257513570253</v>
      </c>
      <c r="N111" s="101" t="str">
        <f>'IC Anch y SardC VIII'!O49</f>
        <v>-</v>
      </c>
      <c r="O111" s="28">
        <f>RESUMEN!$B$3</f>
        <v>45483</v>
      </c>
      <c r="P111">
        <v>2024</v>
      </c>
    </row>
    <row r="112" spans="1:16">
      <c r="A112" t="s">
        <v>217</v>
      </c>
      <c r="B112" t="s">
        <v>181</v>
      </c>
      <c r="C112" t="s">
        <v>237</v>
      </c>
      <c r="D112" t="s">
        <v>232</v>
      </c>
      <c r="E112" t="str">
        <f>Anchoveta!D67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112" s="28">
        <v>45292</v>
      </c>
      <c r="G112" s="28">
        <v>45657</v>
      </c>
      <c r="H112">
        <f>Anchoveta!F67</f>
        <v>2486.6999999999998</v>
      </c>
      <c r="I112">
        <f>Anchoveta!G67</f>
        <v>0</v>
      </c>
      <c r="J112">
        <f>Anchoveta!H67</f>
        <v>2486.6999999999998</v>
      </c>
      <c r="K112">
        <f>Anchoveta!I67</f>
        <v>675.01400000000001</v>
      </c>
      <c r="L112">
        <f>Anchoveta!K67</f>
        <v>1811.6859999999997</v>
      </c>
      <c r="M112" s="36">
        <f>Anchoveta!L67</f>
        <v>0.27144971247034222</v>
      </c>
      <c r="N112" s="101" t="str">
        <f>'IC Anch y SardC VIII'!O50</f>
        <v>-</v>
      </c>
      <c r="O112" s="28">
        <f>RESUMEN!$B$3</f>
        <v>45483</v>
      </c>
      <c r="P112">
        <v>2024</v>
      </c>
    </row>
    <row r="113" spans="1:16">
      <c r="A113" t="s">
        <v>217</v>
      </c>
      <c r="B113" t="s">
        <v>181</v>
      </c>
      <c r="C113" t="s">
        <v>237</v>
      </c>
      <c r="D113" t="s">
        <v>232</v>
      </c>
      <c r="E113" t="str">
        <f>Anchoveta!D68</f>
        <v>Sindicato de Trabajadores Independientes de Pescadores Artesanales Caleta Lo Rojas "SITRAINPAR". Registro Sindical Único 08.07.0287.</v>
      </c>
      <c r="F113" s="28">
        <v>45292</v>
      </c>
      <c r="G113" s="28">
        <v>45657</v>
      </c>
      <c r="H113">
        <f>Anchoveta!F68</f>
        <v>2089.2109999999998</v>
      </c>
      <c r="I113">
        <f>Anchoveta!G68</f>
        <v>315</v>
      </c>
      <c r="J113">
        <f>Anchoveta!H68</f>
        <v>2404.2109999999998</v>
      </c>
      <c r="K113">
        <f>Anchoveta!I68</f>
        <v>1672.2619999999999</v>
      </c>
      <c r="L113">
        <f>Anchoveta!K68</f>
        <v>731.94899999999984</v>
      </c>
      <c r="M113" s="36">
        <f>Anchoveta!L68</f>
        <v>0.69555542338006116</v>
      </c>
      <c r="N113" s="101" t="str">
        <f>'IC Anch y SardC VIII'!O51</f>
        <v>-</v>
      </c>
      <c r="O113" s="28">
        <f>RESUMEN!$B$3</f>
        <v>45483</v>
      </c>
      <c r="P113">
        <v>2024</v>
      </c>
    </row>
    <row r="114" spans="1:16">
      <c r="A114" t="s">
        <v>217</v>
      </c>
      <c r="B114" t="s">
        <v>181</v>
      </c>
      <c r="C114" t="s">
        <v>237</v>
      </c>
      <c r="D114" t="s">
        <v>232</v>
      </c>
      <c r="E114" t="str">
        <f>Anchoveta!D69</f>
        <v>Sindicato de Trabajadores Independientes de Pescadores Artesanales Lo Rojas y Caletas Anexas del Golfo de Arauco. Registro Sindical Único 08.07.0307</v>
      </c>
      <c r="F114" s="28">
        <v>45292</v>
      </c>
      <c r="G114" s="28">
        <v>45657</v>
      </c>
      <c r="H114">
        <f>Anchoveta!F69</f>
        <v>3047.6849999999999</v>
      </c>
      <c r="I114">
        <f>Anchoveta!G69</f>
        <v>-2370</v>
      </c>
      <c r="J114">
        <f>Anchoveta!H69</f>
        <v>677.68499999999995</v>
      </c>
      <c r="K114">
        <f>Anchoveta!I69</f>
        <v>7.886000000000001</v>
      </c>
      <c r="L114">
        <f>Anchoveta!K69</f>
        <v>669.79899999999998</v>
      </c>
      <c r="M114" s="36">
        <f>Anchoveta!L69</f>
        <v>0.77763942139689635</v>
      </c>
      <c r="N114" s="101" t="str">
        <f>'IC Anch y SardC VIII'!O52</f>
        <v>-</v>
      </c>
      <c r="O114" s="28">
        <f>RESUMEN!$B$3</f>
        <v>45483</v>
      </c>
      <c r="P114">
        <v>2024</v>
      </c>
    </row>
    <row r="115" spans="1:16">
      <c r="A115" t="s">
        <v>217</v>
      </c>
      <c r="B115" t="s">
        <v>181</v>
      </c>
      <c r="C115" t="s">
        <v>237</v>
      </c>
      <c r="D115" t="s">
        <v>232</v>
      </c>
      <c r="E115" t="str">
        <f>Anchoveta!D70</f>
        <v>Sindicato de Trabajadores Independientes de Pescadores Artesanales y Actividades Conexas Caleta de Pueblo Hundido, La Conchilla y El Morro - LOTA. Registro Sindical Único 08.07.0061</v>
      </c>
      <c r="F115" s="28">
        <v>45292</v>
      </c>
      <c r="G115" s="28">
        <v>45657</v>
      </c>
      <c r="H115">
        <f>Anchoveta!F70</f>
        <v>0</v>
      </c>
      <c r="I115">
        <f>Anchoveta!G70</f>
        <v>0</v>
      </c>
      <c r="J115">
        <f>Anchoveta!H70</f>
        <v>0</v>
      </c>
      <c r="K115">
        <f>Anchoveta!I70</f>
        <v>0</v>
      </c>
      <c r="L115">
        <f>Anchoveta!K70</f>
        <v>0</v>
      </c>
      <c r="M115" s="36" t="e">
        <f>Anchoveta!L70</f>
        <v>#DIV/0!</v>
      </c>
      <c r="N115" s="101" t="str">
        <f>'IC Anch y SardC VIII'!O53</f>
        <v>-</v>
      </c>
      <c r="O115" s="28">
        <f>RESUMEN!$B$3</f>
        <v>45483</v>
      </c>
      <c r="P115">
        <v>2024</v>
      </c>
    </row>
    <row r="116" spans="1:16">
      <c r="A116" t="s">
        <v>217</v>
      </c>
      <c r="B116" t="s">
        <v>181</v>
      </c>
      <c r="C116" t="s">
        <v>237</v>
      </c>
      <c r="D116" t="s">
        <v>232</v>
      </c>
      <c r="E116" t="str">
        <f>Anchoveta!D71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116" s="28">
        <v>45292</v>
      </c>
      <c r="G116" s="28">
        <v>45657</v>
      </c>
      <c r="H116">
        <f>Anchoveta!F71</f>
        <v>4148.8729999999996</v>
      </c>
      <c r="I116">
        <f>Anchoveta!G71</f>
        <v>-206</v>
      </c>
      <c r="J116">
        <f>Anchoveta!H71</f>
        <v>3942.8729999999996</v>
      </c>
      <c r="K116">
        <f>Anchoveta!I71</f>
        <v>698.0870000000001</v>
      </c>
      <c r="L116">
        <f>Anchoveta!K71</f>
        <v>3244.7859999999996</v>
      </c>
      <c r="M116" s="36">
        <f>Anchoveta!L71</f>
        <v>0.17705033867436262</v>
      </c>
      <c r="N116" s="101" t="str">
        <f>'IC Anch y SardC VIII'!O54</f>
        <v>-</v>
      </c>
      <c r="O116" s="28">
        <f>RESUMEN!$B$3</f>
        <v>45483</v>
      </c>
      <c r="P116">
        <v>2024</v>
      </c>
    </row>
    <row r="117" spans="1:16">
      <c r="A117" t="s">
        <v>217</v>
      </c>
      <c r="B117" t="s">
        <v>181</v>
      </c>
      <c r="C117" t="s">
        <v>237</v>
      </c>
      <c r="D117" t="s">
        <v>232</v>
      </c>
      <c r="E117" t="str">
        <f>Anchoveta!D72</f>
        <v>Sindicato de Trabajadores Independientes de Pescadores Artesanales, Armadores Artesanales, Buzos mariscadores, Recolectores de orilla "Por un Futuro Mejor". Registro Sindical Único 08.16.0212</v>
      </c>
      <c r="F117" s="28">
        <v>45292</v>
      </c>
      <c r="G117" s="28">
        <v>45657</v>
      </c>
      <c r="H117">
        <f>Anchoveta!F72</f>
        <v>107.392</v>
      </c>
      <c r="I117">
        <f>Anchoveta!G72</f>
        <v>-9</v>
      </c>
      <c r="J117">
        <f>Anchoveta!H72</f>
        <v>98.391999999999996</v>
      </c>
      <c r="K117">
        <f>Anchoveta!I72</f>
        <v>0</v>
      </c>
      <c r="L117">
        <f>Anchoveta!K72</f>
        <v>98.391999999999996</v>
      </c>
      <c r="M117" s="36">
        <f>Anchoveta!L72</f>
        <v>0</v>
      </c>
      <c r="N117" s="101" t="str">
        <f>'IC Anch y SardC VIII'!O55</f>
        <v>-</v>
      </c>
      <c r="O117" s="28">
        <f>RESUMEN!$B$3</f>
        <v>45483</v>
      </c>
      <c r="P117">
        <v>2024</v>
      </c>
    </row>
    <row r="118" spans="1:16">
      <c r="A118" t="s">
        <v>217</v>
      </c>
      <c r="B118" t="s">
        <v>181</v>
      </c>
      <c r="C118" t="s">
        <v>237</v>
      </c>
      <c r="D118" t="s">
        <v>232</v>
      </c>
      <c r="E118" t="str">
        <f>Anchoveta!D73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118" s="28">
        <v>45292</v>
      </c>
      <c r="G118" s="28">
        <v>45657</v>
      </c>
      <c r="H118">
        <f>Anchoveta!F73</f>
        <v>326.17700000000002</v>
      </c>
      <c r="I118">
        <f>Anchoveta!G73</f>
        <v>150</v>
      </c>
      <c r="J118">
        <f>Anchoveta!H73</f>
        <v>476.17700000000002</v>
      </c>
      <c r="K118">
        <f>Anchoveta!I73</f>
        <v>591.63499999999999</v>
      </c>
      <c r="L118">
        <f>Anchoveta!K73</f>
        <v>-115.45799999999997</v>
      </c>
      <c r="M118" s="36">
        <f>Anchoveta!L73</f>
        <v>1.2424686618631307</v>
      </c>
      <c r="N118" s="101" t="str">
        <f>'IC Anch y SardC VIII'!O56</f>
        <v>-</v>
      </c>
      <c r="O118" s="28">
        <f>RESUMEN!$B$3</f>
        <v>45483</v>
      </c>
      <c r="P118">
        <v>2024</v>
      </c>
    </row>
    <row r="119" spans="1:16">
      <c r="A119" t="s">
        <v>217</v>
      </c>
      <c r="B119" t="s">
        <v>181</v>
      </c>
      <c r="C119" t="s">
        <v>237</v>
      </c>
      <c r="D119" t="s">
        <v>232</v>
      </c>
      <c r="E119" t="str">
        <f>Anchoveta!D74</f>
        <v>Sindicato de Trabajadores Independientes de tripulantes y ramos afines de la pesca artesanal (CORONEL). Registro Sindical Único 08.07.0398</v>
      </c>
      <c r="F119" s="28">
        <v>45292</v>
      </c>
      <c r="G119" s="28">
        <v>45657</v>
      </c>
      <c r="H119">
        <f>Anchoveta!F74</f>
        <v>36.890999999999998</v>
      </c>
      <c r="I119">
        <f>Anchoveta!G74</f>
        <v>-28.7</v>
      </c>
      <c r="J119">
        <f>Anchoveta!H74</f>
        <v>8.1909999999999989</v>
      </c>
      <c r="K119">
        <f>Anchoveta!I74</f>
        <v>0</v>
      </c>
      <c r="L119">
        <f>Anchoveta!K74</f>
        <v>8.1909999999999989</v>
      </c>
      <c r="M119" s="36">
        <f>Anchoveta!L74</f>
        <v>0</v>
      </c>
      <c r="N119" s="101" t="str">
        <f>'IC Anch y SardC VIII'!O57</f>
        <v>-</v>
      </c>
      <c r="O119" s="28">
        <f>RESUMEN!$B$3</f>
        <v>45483</v>
      </c>
      <c r="P119">
        <v>2024</v>
      </c>
    </row>
    <row r="120" spans="1:16">
      <c r="A120" t="s">
        <v>217</v>
      </c>
      <c r="B120" t="s">
        <v>181</v>
      </c>
      <c r="C120" t="s">
        <v>237</v>
      </c>
      <c r="D120" t="s">
        <v>232</v>
      </c>
      <c r="E120" t="str">
        <f>Anchoveta!D75</f>
        <v>Sindicato de Trabajadores Independientes Pescadores Armadores y Ramos Afines de la Pesca Artesanal, APAT, Registro Sindical Único 08.05.0380</v>
      </c>
      <c r="F120" s="28">
        <v>45292</v>
      </c>
      <c r="G120" s="28">
        <v>45657</v>
      </c>
      <c r="H120">
        <f>Anchoveta!F75</f>
        <v>1493.675</v>
      </c>
      <c r="I120">
        <f>Anchoveta!G75</f>
        <v>-60</v>
      </c>
      <c r="J120">
        <f>Anchoveta!H75</f>
        <v>1433.675</v>
      </c>
      <c r="K120">
        <f>Anchoveta!I75</f>
        <v>517.87200000000007</v>
      </c>
      <c r="L120">
        <f>Anchoveta!K75</f>
        <v>915.80299999999988</v>
      </c>
      <c r="M120" s="36">
        <f>Anchoveta!L75</f>
        <v>0.36121994175806937</v>
      </c>
      <c r="N120" s="101" t="str">
        <f>'IC Anch y SardC VIII'!O58</f>
        <v>-</v>
      </c>
      <c r="O120" s="28">
        <f>RESUMEN!$B$3</f>
        <v>45483</v>
      </c>
      <c r="P120">
        <v>2024</v>
      </c>
    </row>
    <row r="121" spans="1:16">
      <c r="A121" t="s">
        <v>217</v>
      </c>
      <c r="B121" t="s">
        <v>181</v>
      </c>
      <c r="C121" t="s">
        <v>237</v>
      </c>
      <c r="D121" t="s">
        <v>232</v>
      </c>
      <c r="E121" t="str">
        <f>Anchoveta!D76</f>
        <v>Sindicato de Trabajadores Independientes Pescadores Artesanales de Caleta Tumbes - Talcahuano, Registro Sindical Único 08.05.0057</v>
      </c>
      <c r="F121" s="28">
        <v>45292</v>
      </c>
      <c r="G121" s="28">
        <v>45657</v>
      </c>
      <c r="H121">
        <f>Anchoveta!F76</f>
        <v>5248.0739999999996</v>
      </c>
      <c r="I121">
        <f>Anchoveta!G76</f>
        <v>-107</v>
      </c>
      <c r="J121">
        <f>Anchoveta!H76</f>
        <v>5141.0739999999996</v>
      </c>
      <c r="K121">
        <f>Anchoveta!I76</f>
        <v>1040.826</v>
      </c>
      <c r="L121">
        <f>Anchoveta!K76</f>
        <v>4100.2479999999996</v>
      </c>
      <c r="M121" s="36">
        <f>Anchoveta!L76</f>
        <v>0.20245302829720019</v>
      </c>
      <c r="N121" s="101" t="str">
        <f>'IC Anch y SardC VIII'!O59</f>
        <v>-</v>
      </c>
      <c r="O121" s="28">
        <f>RESUMEN!$B$3</f>
        <v>45483</v>
      </c>
      <c r="P121">
        <v>2024</v>
      </c>
    </row>
    <row r="122" spans="1:16">
      <c r="A122" t="s">
        <v>217</v>
      </c>
      <c r="B122" t="s">
        <v>181</v>
      </c>
      <c r="C122" t="s">
        <v>237</v>
      </c>
      <c r="D122" t="s">
        <v>232</v>
      </c>
      <c r="E122" t="str">
        <f>Anchoveta!D77</f>
        <v>Sindicato de Trabajadores Independientes Pescadores Artesanales Históricos de Talcahuano, "SPARHITAL". Registro Sindical Único 08.05.0382</v>
      </c>
      <c r="F122" s="28">
        <v>45292</v>
      </c>
      <c r="G122" s="28">
        <v>45657</v>
      </c>
      <c r="H122">
        <f>Anchoveta!F77</f>
        <v>1535.1669999999999</v>
      </c>
      <c r="I122">
        <f>Anchoveta!G77</f>
        <v>-1078</v>
      </c>
      <c r="J122">
        <f>Anchoveta!H77</f>
        <v>457.16699999999992</v>
      </c>
      <c r="K122">
        <f>Anchoveta!I77</f>
        <v>30.151999999999997</v>
      </c>
      <c r="L122">
        <f>Anchoveta!K77</f>
        <v>427.01499999999993</v>
      </c>
      <c r="M122" s="36">
        <f>Anchoveta!L77</f>
        <v>6.5954016803487572E-2</v>
      </c>
      <c r="N122" s="101" t="str">
        <f>'IC Anch y SardC VIII'!O60</f>
        <v>-</v>
      </c>
      <c r="O122" s="28">
        <f>RESUMEN!$B$3</f>
        <v>45483</v>
      </c>
      <c r="P122">
        <v>2024</v>
      </c>
    </row>
    <row r="123" spans="1:16">
      <c r="A123" t="s">
        <v>217</v>
      </c>
      <c r="B123" t="s">
        <v>181</v>
      </c>
      <c r="C123" t="s">
        <v>237</v>
      </c>
      <c r="D123" t="s">
        <v>232</v>
      </c>
      <c r="E123" t="str">
        <f>Anchoveta!D78</f>
        <v>Sindicato de Trabajadores Independientes Pescadores Artesanales Península de Tumbes, Registro Sindical Único 08.05.0391</v>
      </c>
      <c r="F123" s="28">
        <v>45292</v>
      </c>
      <c r="G123" s="28">
        <v>45657</v>
      </c>
      <c r="H123">
        <f>Anchoveta!F78</f>
        <v>2511.8629999999998</v>
      </c>
      <c r="I123">
        <f>Anchoveta!G78</f>
        <v>0</v>
      </c>
      <c r="J123">
        <f>Anchoveta!H78</f>
        <v>2511.8629999999998</v>
      </c>
      <c r="K123">
        <f>Anchoveta!I78</f>
        <v>560.89400000000001</v>
      </c>
      <c r="L123">
        <f>Anchoveta!K78</f>
        <v>1950.9689999999998</v>
      </c>
      <c r="M123" s="36">
        <f>Anchoveta!L78</f>
        <v>0.22329800630050287</v>
      </c>
      <c r="N123" s="101" t="str">
        <f>'IC Anch y SardC VIII'!O61</f>
        <v>-</v>
      </c>
      <c r="O123" s="28">
        <f>RESUMEN!$B$3</f>
        <v>45483</v>
      </c>
      <c r="P123">
        <v>2024</v>
      </c>
    </row>
    <row r="124" spans="1:16">
      <c r="A124" t="s">
        <v>217</v>
      </c>
      <c r="B124" t="s">
        <v>181</v>
      </c>
      <c r="C124" t="s">
        <v>237</v>
      </c>
      <c r="D124" t="s">
        <v>232</v>
      </c>
      <c r="E124" t="str">
        <f>Anchoveta!D79</f>
        <v>Sindicato de Trabajadores Independientes Pescadores Artesanales, Armadores y Actividades Conexas de la Caleta Coliumo, Registro Sindical Único 08.06.0150</v>
      </c>
      <c r="F124" s="28">
        <v>45292</v>
      </c>
      <c r="G124" s="28">
        <v>45657</v>
      </c>
      <c r="H124">
        <f>Anchoveta!F79</f>
        <v>5733.8720000000003</v>
      </c>
      <c r="I124">
        <f>Anchoveta!G79</f>
        <v>443</v>
      </c>
      <c r="J124">
        <f>Anchoveta!H79</f>
        <v>6176.8720000000003</v>
      </c>
      <c r="K124">
        <f>Anchoveta!I79</f>
        <v>2235.1469999999999</v>
      </c>
      <c r="L124">
        <f>Anchoveta!K79</f>
        <v>3941.7250000000004</v>
      </c>
      <c r="M124" s="36">
        <f>Anchoveta!L79</f>
        <v>0.36185742557074191</v>
      </c>
      <c r="N124" s="101" t="str">
        <f>'IC Anch y SardC VIII'!O62</f>
        <v>-</v>
      </c>
      <c r="O124" s="28">
        <f>RESUMEN!$B$3</f>
        <v>45483</v>
      </c>
      <c r="P124">
        <v>2024</v>
      </c>
    </row>
    <row r="125" spans="1:16">
      <c r="A125" t="s">
        <v>217</v>
      </c>
      <c r="B125" t="s">
        <v>181</v>
      </c>
      <c r="C125" t="s">
        <v>237</v>
      </c>
      <c r="D125" t="s">
        <v>232</v>
      </c>
      <c r="E125" t="str">
        <f>Anchoveta!D80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25" s="28">
        <v>45292</v>
      </c>
      <c r="G125" s="28">
        <v>45657</v>
      </c>
      <c r="H125">
        <f>Anchoveta!F80</f>
        <v>202.874</v>
      </c>
      <c r="I125">
        <f>Anchoveta!G80</f>
        <v>-158</v>
      </c>
      <c r="J125">
        <f>Anchoveta!H80</f>
        <v>44.873999999999995</v>
      </c>
      <c r="K125">
        <f>Anchoveta!I80</f>
        <v>0</v>
      </c>
      <c r="L125">
        <f>Anchoveta!K80</f>
        <v>44.873999999999995</v>
      </c>
      <c r="M125" s="36">
        <f>Anchoveta!L80</f>
        <v>0</v>
      </c>
      <c r="N125" s="101" t="str">
        <f>'IC Anch y SardC VIII'!O63</f>
        <v>-</v>
      </c>
      <c r="O125" s="28">
        <f>RESUMEN!$B$3</f>
        <v>45483</v>
      </c>
      <c r="P125">
        <v>2024</v>
      </c>
    </row>
    <row r="126" spans="1:16">
      <c r="A126" t="s">
        <v>217</v>
      </c>
      <c r="B126" t="s">
        <v>181</v>
      </c>
      <c r="C126" t="s">
        <v>237</v>
      </c>
      <c r="D126" t="s">
        <v>232</v>
      </c>
      <c r="E126" t="str">
        <f>Anchoveta!D81</f>
        <v>Sindicato de Trabajadores Independientes Pescadores Artesanales, Buzos Mariscadores, Armadores Artesanales y Actividades Conexas de Coronel y del Golfo de Arauco VIII Region "SIPARBUMAR CORONEL". Registro Sindical Único 08.07.0183</v>
      </c>
      <c r="F126" s="28">
        <v>45292</v>
      </c>
      <c r="G126" s="28">
        <v>45657</v>
      </c>
      <c r="H126">
        <f>Anchoveta!F81</f>
        <v>7909.893</v>
      </c>
      <c r="I126">
        <f>Anchoveta!G81</f>
        <v>1395.1579999999999</v>
      </c>
      <c r="J126">
        <f>Anchoveta!H81</f>
        <v>9305.0509999999995</v>
      </c>
      <c r="K126">
        <f>Anchoveta!I81</f>
        <v>3777.9019999999996</v>
      </c>
      <c r="L126">
        <f>Anchoveta!K81</f>
        <v>5527.1489999999994</v>
      </c>
      <c r="M126" s="36">
        <f>Anchoveta!L81</f>
        <v>0.40600551248993688</v>
      </c>
      <c r="N126" s="101" t="str">
        <f>'IC Anch y SardC VIII'!O64</f>
        <v>-</v>
      </c>
      <c r="O126" s="28">
        <f>RESUMEN!$B$3</f>
        <v>45483</v>
      </c>
      <c r="P126">
        <v>2024</v>
      </c>
    </row>
    <row r="127" spans="1:16">
      <c r="A127" t="s">
        <v>217</v>
      </c>
      <c r="B127" t="s">
        <v>181</v>
      </c>
      <c r="C127" t="s">
        <v>237</v>
      </c>
      <c r="D127" t="s">
        <v>232</v>
      </c>
      <c r="E127" t="str">
        <f>Anchoveta!D82</f>
        <v>Sindicato de Trabajadores Independientes Pescadores Artesanales, Lancheros, Acuicultores y Actividades Conexas de Caleta Lota Bajo "SIPESCA", Registro Sindical Único 08.07.0106</v>
      </c>
      <c r="F127" s="28">
        <v>45292</v>
      </c>
      <c r="G127" s="28">
        <v>45657</v>
      </c>
      <c r="H127">
        <f>Anchoveta!F82</f>
        <v>169.364</v>
      </c>
      <c r="I127">
        <f>Anchoveta!G82</f>
        <v>0</v>
      </c>
      <c r="J127">
        <f>Anchoveta!H82</f>
        <v>169.364</v>
      </c>
      <c r="K127">
        <f>Anchoveta!I82</f>
        <v>65.88900000000001</v>
      </c>
      <c r="L127">
        <f>Anchoveta!K82</f>
        <v>103.47499999999999</v>
      </c>
      <c r="M127" s="36">
        <f>Anchoveta!L82</f>
        <v>0.38903781204978632</v>
      </c>
      <c r="N127" s="101" t="str">
        <f>'IC Anch y SardC VIII'!O65</f>
        <v>-</v>
      </c>
      <c r="O127" s="28">
        <f>RESUMEN!$B$3</f>
        <v>45483</v>
      </c>
      <c r="P127">
        <v>2024</v>
      </c>
    </row>
    <row r="128" spans="1:16">
      <c r="A128" t="s">
        <v>217</v>
      </c>
      <c r="B128" t="s">
        <v>181</v>
      </c>
      <c r="C128" t="s">
        <v>237</v>
      </c>
      <c r="D128" t="s">
        <v>232</v>
      </c>
      <c r="E128" t="str">
        <f>Anchoveta!D83</f>
        <v>Sindicato de Trabajadores Independientes Pescadores de la Caleta Cocholgüe, Registro Sindical Único 08.06.0023</v>
      </c>
      <c r="F128" s="28">
        <v>45292</v>
      </c>
      <c r="G128" s="28">
        <v>45657</v>
      </c>
      <c r="H128">
        <f>Anchoveta!F83</f>
        <v>2.282</v>
      </c>
      <c r="I128">
        <f>Anchoveta!G83</f>
        <v>0</v>
      </c>
      <c r="J128">
        <f>Anchoveta!H83</f>
        <v>2.282</v>
      </c>
      <c r="K128">
        <f>Anchoveta!I83</f>
        <v>0</v>
      </c>
      <c r="L128">
        <f>Anchoveta!K83</f>
        <v>2.282</v>
      </c>
      <c r="M128" s="36">
        <f>Anchoveta!L83</f>
        <v>0</v>
      </c>
      <c r="N128" s="101" t="str">
        <f>'IC Anch y SardC VIII'!O66</f>
        <v>-</v>
      </c>
      <c r="O128" s="28">
        <f>RESUMEN!$B$3</f>
        <v>45483</v>
      </c>
      <c r="P128">
        <v>2024</v>
      </c>
    </row>
    <row r="129" spans="1:16">
      <c r="A129" t="s">
        <v>217</v>
      </c>
      <c r="B129" t="s">
        <v>181</v>
      </c>
      <c r="C129" t="s">
        <v>237</v>
      </c>
      <c r="D129" t="s">
        <v>232</v>
      </c>
      <c r="E129" t="str">
        <f>Anchoveta!D84</f>
        <v>Sindicato de Trabajadores Independientes Pescadores de la Caleta Coliumo, Registro Sindical Único 08.06.0027</v>
      </c>
      <c r="F129" s="28">
        <v>45292</v>
      </c>
      <c r="G129" s="28">
        <v>45657</v>
      </c>
      <c r="H129">
        <f>Anchoveta!F84</f>
        <v>7691.7839999999997</v>
      </c>
      <c r="I129">
        <f>Anchoveta!G84</f>
        <v>-536</v>
      </c>
      <c r="J129">
        <f>Anchoveta!H84</f>
        <v>7155.7839999999997</v>
      </c>
      <c r="K129">
        <f>Anchoveta!I84</f>
        <v>2151.3470000000002</v>
      </c>
      <c r="L129">
        <f>Anchoveta!K84</f>
        <v>5004.4369999999999</v>
      </c>
      <c r="M129" s="36">
        <f>Anchoveta!L84</f>
        <v>0.30064448563567603</v>
      </c>
      <c r="N129" s="101" t="str">
        <f>'IC Anch y SardC VIII'!O67</f>
        <v>-</v>
      </c>
      <c r="O129" s="28">
        <f>RESUMEN!$B$3</f>
        <v>45483</v>
      </c>
      <c r="P129">
        <v>2024</v>
      </c>
    </row>
    <row r="130" spans="1:16">
      <c r="A130" t="s">
        <v>217</v>
      </c>
      <c r="B130" t="s">
        <v>181</v>
      </c>
      <c r="C130" t="s">
        <v>237</v>
      </c>
      <c r="D130" t="s">
        <v>232</v>
      </c>
      <c r="E130" t="str">
        <f>Anchoveta!D85</f>
        <v>Sindicato de Trabajadores Independientes Pescadores,  Armadores y  Buzos Mariscadores  y Actividades conexas de Talcahuano "SIPARBUM". Registro Sindical Único 08.05.0424</v>
      </c>
      <c r="F130" s="28">
        <v>45292</v>
      </c>
      <c r="G130" s="28">
        <v>45657</v>
      </c>
      <c r="H130">
        <f>Anchoveta!F85</f>
        <v>1768.759</v>
      </c>
      <c r="I130">
        <f>Anchoveta!G85</f>
        <v>-250</v>
      </c>
      <c r="J130">
        <f>Anchoveta!H85</f>
        <v>1518.759</v>
      </c>
      <c r="K130">
        <f>Anchoveta!I85</f>
        <v>532.35000000000014</v>
      </c>
      <c r="L130">
        <f>Anchoveta!K85</f>
        <v>986.40899999999988</v>
      </c>
      <c r="M130" s="36">
        <f>Anchoveta!L85</f>
        <v>0.35051644138405114</v>
      </c>
      <c r="N130" s="101" t="str">
        <f>'IC Anch y SardC VIII'!O68</f>
        <v>-</v>
      </c>
      <c r="O130" s="28">
        <f>RESUMEN!$B$3</f>
        <v>45483</v>
      </c>
      <c r="P130">
        <v>2024</v>
      </c>
    </row>
    <row r="131" spans="1:16">
      <c r="A131" t="s">
        <v>217</v>
      </c>
      <c r="B131" t="s">
        <v>181</v>
      </c>
      <c r="C131" t="s">
        <v>237</v>
      </c>
      <c r="D131" t="s">
        <v>232</v>
      </c>
      <c r="E131" t="str">
        <f>Anchoveta!D86</f>
        <v>Sindicato de Trabajadores Independientes Pescadores, Armadores  y ramas afines de la Pesca Artesanal "JUANOVOAARCE-LOTA" Registro Sindical Unico 08.07.0485</v>
      </c>
      <c r="F131" s="28">
        <v>45292</v>
      </c>
      <c r="G131" s="28">
        <v>45657</v>
      </c>
      <c r="H131">
        <f>Anchoveta!F86</f>
        <v>562.73900000000003</v>
      </c>
      <c r="I131">
        <f>Anchoveta!G86</f>
        <v>0</v>
      </c>
      <c r="J131">
        <f>Anchoveta!H86</f>
        <v>562.73900000000003</v>
      </c>
      <c r="K131">
        <f>Anchoveta!I86</f>
        <v>209.24299999999999</v>
      </c>
      <c r="L131">
        <f>Anchoveta!K86</f>
        <v>353.49600000000004</v>
      </c>
      <c r="M131" s="36">
        <f>Anchoveta!L86</f>
        <v>0.37182956930299832</v>
      </c>
      <c r="N131" s="101" t="str">
        <f>'IC Anch y SardC VIII'!O69</f>
        <v>-</v>
      </c>
      <c r="O131" s="28">
        <f>RESUMEN!$B$3</f>
        <v>45483</v>
      </c>
      <c r="P131">
        <v>2024</v>
      </c>
    </row>
    <row r="132" spans="1:16">
      <c r="A132" t="s">
        <v>217</v>
      </c>
      <c r="B132" t="s">
        <v>181</v>
      </c>
      <c r="C132" t="s">
        <v>237</v>
      </c>
      <c r="D132" t="s">
        <v>232</v>
      </c>
      <c r="E132" t="str">
        <f>Anchoveta!D87</f>
        <v xml:space="preserve">Sindicato de Trabajadores Independientes Pescadores, Armadores Artesanales y Ramos Afines "Mar de Fondo del Biobío", (RSU N°08.05.0700) </v>
      </c>
      <c r="F132" s="28">
        <v>45292</v>
      </c>
      <c r="G132" s="28">
        <v>45657</v>
      </c>
      <c r="H132">
        <f>Anchoveta!F87</f>
        <v>1733.444</v>
      </c>
      <c r="I132">
        <f>Anchoveta!G87</f>
        <v>120</v>
      </c>
      <c r="J132">
        <f>Anchoveta!H87</f>
        <v>1853.444</v>
      </c>
      <c r="K132">
        <f>Anchoveta!I87</f>
        <v>388.07900000000001</v>
      </c>
      <c r="L132">
        <f>Anchoveta!K87</f>
        <v>1465.365</v>
      </c>
      <c r="M132" s="36">
        <f>Anchoveta!L87</f>
        <v>0.20938264118041874</v>
      </c>
      <c r="N132" s="101" t="str">
        <f>'IC Anch y SardC VIII'!O70</f>
        <v>-</v>
      </c>
      <c r="O132" s="28">
        <f>RESUMEN!$B$3</f>
        <v>45483</v>
      </c>
      <c r="P132">
        <v>2024</v>
      </c>
    </row>
    <row r="133" spans="1:16">
      <c r="A133" t="s">
        <v>217</v>
      </c>
      <c r="B133" t="s">
        <v>181</v>
      </c>
      <c r="C133" t="s">
        <v>237</v>
      </c>
      <c r="D133" t="s">
        <v>232</v>
      </c>
      <c r="E133" t="str">
        <f>Anchoveta!D88</f>
        <v>Sindicato de Trabajadores Independientes Pescadores, Armadores Artesanales, Buzos, Acuicultores y Ramos Afines de la Pesca Artesanal, Comuna de Talcahuano "SIPEARTAL". Registro Sindical Único 08.05.0487.</v>
      </c>
      <c r="F133" s="28">
        <v>45292</v>
      </c>
      <c r="G133" s="28">
        <v>45657</v>
      </c>
      <c r="H133">
        <f>Anchoveta!F88</f>
        <v>2363.6390000000001</v>
      </c>
      <c r="I133">
        <f>Anchoveta!G88</f>
        <v>-2</v>
      </c>
      <c r="J133">
        <f>Anchoveta!H88</f>
        <v>2361.6390000000001</v>
      </c>
      <c r="K133">
        <f>Anchoveta!I88</f>
        <v>750.1389999999999</v>
      </c>
      <c r="L133">
        <f>Anchoveta!K88</f>
        <v>1611.5000000000002</v>
      </c>
      <c r="M133" s="36">
        <f>Anchoveta!L88</f>
        <v>0.3176349137188198</v>
      </c>
      <c r="N133" s="101" t="str">
        <f>'IC Anch y SardC VIII'!O71</f>
        <v>-</v>
      </c>
      <c r="O133" s="28">
        <f>RESUMEN!$B$3</f>
        <v>45483</v>
      </c>
      <c r="P133">
        <v>2024</v>
      </c>
    </row>
    <row r="134" spans="1:16">
      <c r="A134" t="s">
        <v>217</v>
      </c>
      <c r="B134" t="s">
        <v>181</v>
      </c>
      <c r="C134" t="s">
        <v>237</v>
      </c>
      <c r="D134" t="s">
        <v>232</v>
      </c>
      <c r="E134" t="str">
        <f>Anchoveta!D89</f>
        <v>Sindicato de Trabajadores Independientes Pescadores, Armadores y Ramas Afines de la Pesca Artesanal de Coronel "SIPESMAFESA". Registro Sindical Único 08.07.0332</v>
      </c>
      <c r="F134" s="28">
        <v>45292</v>
      </c>
      <c r="G134" s="28">
        <v>45657</v>
      </c>
      <c r="H134">
        <f>Anchoveta!F89</f>
        <v>3124.47</v>
      </c>
      <c r="I134">
        <f>Anchoveta!G89</f>
        <v>0</v>
      </c>
      <c r="J134">
        <f>Anchoveta!H89</f>
        <v>3124.47</v>
      </c>
      <c r="K134">
        <f>Anchoveta!I89</f>
        <v>543.25699999999995</v>
      </c>
      <c r="L134">
        <f>Anchoveta!K89</f>
        <v>2581.2129999999997</v>
      </c>
      <c r="M134" s="36">
        <f>Anchoveta!L89</f>
        <v>0.17387172864517822</v>
      </c>
      <c r="N134" s="101" t="str">
        <f>'IC Anch y SardC VIII'!O72</f>
        <v>-</v>
      </c>
      <c r="O134" s="28">
        <f>RESUMEN!$B$3</f>
        <v>45483</v>
      </c>
      <c r="P134">
        <v>2024</v>
      </c>
    </row>
    <row r="135" spans="1:16">
      <c r="A135" t="s">
        <v>217</v>
      </c>
      <c r="B135" t="s">
        <v>181</v>
      </c>
      <c r="C135" t="s">
        <v>237</v>
      </c>
      <c r="D135" t="s">
        <v>232</v>
      </c>
      <c r="E135" t="str">
        <f>Anchoveta!D90</f>
        <v>Sindicato de Trabajadores Independientes Pescadores, Armadores y Ramos Afines "SIPEAYRAS" de Lota. Registro Sindical Único 08.07.0296</v>
      </c>
      <c r="F135" s="28">
        <v>45292</v>
      </c>
      <c r="G135" s="28">
        <v>45657</v>
      </c>
      <c r="H135">
        <f>Anchoveta!F90</f>
        <v>204.44</v>
      </c>
      <c r="I135">
        <f>Anchoveta!G90</f>
        <v>70</v>
      </c>
      <c r="J135">
        <f>Anchoveta!H90</f>
        <v>274.44</v>
      </c>
      <c r="K135">
        <f>Anchoveta!I90</f>
        <v>213.886</v>
      </c>
      <c r="L135">
        <f>Anchoveta!K90</f>
        <v>60.554000000000002</v>
      </c>
      <c r="M135" s="36">
        <f>Anchoveta!L90</f>
        <v>0.77935432152747408</v>
      </c>
      <c r="N135" s="101" t="str">
        <f>'IC Anch y SardC VIII'!O73</f>
        <v>-</v>
      </c>
      <c r="O135" s="28">
        <f>RESUMEN!$B$3</f>
        <v>45483</v>
      </c>
      <c r="P135">
        <v>2024</v>
      </c>
    </row>
    <row r="136" spans="1:16">
      <c r="A136" t="s">
        <v>217</v>
      </c>
      <c r="B136" t="s">
        <v>181</v>
      </c>
      <c r="C136" t="s">
        <v>237</v>
      </c>
      <c r="D136" t="s">
        <v>232</v>
      </c>
      <c r="E136" t="str">
        <f>Anchoveta!D91</f>
        <v>Sindicato de Trabajadores Independientes Pescadores, Armadores y Ramos Afines de la Pesca Artesanal de Coronel, SIPARMAR CORONEL , Registro Sindical Único 08.07.0271</v>
      </c>
      <c r="F136" s="28">
        <v>45292</v>
      </c>
      <c r="G136" s="28">
        <v>45657</v>
      </c>
      <c r="H136">
        <f>Anchoveta!F91</f>
        <v>1074.184</v>
      </c>
      <c r="I136">
        <f>Anchoveta!G91</f>
        <v>0</v>
      </c>
      <c r="J136">
        <f>Anchoveta!H91</f>
        <v>1074.184</v>
      </c>
      <c r="K136">
        <f>Anchoveta!I91</f>
        <v>392.55400000000003</v>
      </c>
      <c r="L136">
        <f>Anchoveta!K91</f>
        <v>681.62999999999988</v>
      </c>
      <c r="M136" s="36">
        <f>Anchoveta!L91</f>
        <v>0.36544390905096336</v>
      </c>
      <c r="N136" s="101" t="str">
        <f>'IC Anch y SardC VIII'!O74</f>
        <v>-</v>
      </c>
      <c r="O136" s="28">
        <f>RESUMEN!$B$3</f>
        <v>45483</v>
      </c>
      <c r="P136">
        <v>2024</v>
      </c>
    </row>
    <row r="137" spans="1:16">
      <c r="A137" t="s">
        <v>217</v>
      </c>
      <c r="B137" t="s">
        <v>181</v>
      </c>
      <c r="C137" t="s">
        <v>237</v>
      </c>
      <c r="D137" t="s">
        <v>232</v>
      </c>
      <c r="E137" t="str">
        <f>Anchoveta!D92</f>
        <v>Sindicato de Trabajadores Independientes Pescdores y Armadores artesanales de embarcaciones menores de la Caleta de Tumbes "SIPEAREM" Comuna Talcahuano, Registro Sindical Único 08.05.0569</v>
      </c>
      <c r="F137" s="28">
        <v>45292</v>
      </c>
      <c r="G137" s="28">
        <v>45657</v>
      </c>
      <c r="H137">
        <f>Anchoveta!F92</f>
        <v>102.703</v>
      </c>
      <c r="I137">
        <f>Anchoveta!G92</f>
        <v>7</v>
      </c>
      <c r="J137">
        <f>Anchoveta!H92</f>
        <v>109.703</v>
      </c>
      <c r="K137">
        <f>Anchoveta!I92</f>
        <v>38.088000000000001</v>
      </c>
      <c r="L137">
        <f>Anchoveta!K92</f>
        <v>71.615000000000009</v>
      </c>
      <c r="M137" s="36">
        <f>Anchoveta!L92</f>
        <v>0.34719196375668854</v>
      </c>
      <c r="N137" s="101" t="str">
        <f>'IC Anch y SardC VIII'!O75</f>
        <v>-</v>
      </c>
      <c r="O137" s="28">
        <f>RESUMEN!$B$3</f>
        <v>45483</v>
      </c>
      <c r="P137">
        <v>2024</v>
      </c>
    </row>
    <row r="138" spans="1:16">
      <c r="A138" t="s">
        <v>217</v>
      </c>
      <c r="B138" t="s">
        <v>181</v>
      </c>
      <c r="C138" t="s">
        <v>237</v>
      </c>
      <c r="D138" t="s">
        <v>232</v>
      </c>
      <c r="E138" t="str">
        <f>Anchoveta!D93</f>
        <v>Sindicato de Trabajadores Independientes, Ayudantes de Buzos, Pescadores Artesanales y Algueras y Actividades Conexas de las Caletas Tomé y Quichiuto, Registro Sindical Único 08.06.0043</v>
      </c>
      <c r="F138" s="28">
        <v>45292</v>
      </c>
      <c r="G138" s="28">
        <v>45657</v>
      </c>
      <c r="H138">
        <f>Anchoveta!F93</f>
        <v>1623.25</v>
      </c>
      <c r="I138">
        <f>Anchoveta!G93</f>
        <v>-1623.25</v>
      </c>
      <c r="J138">
        <f>Anchoveta!H93</f>
        <v>0</v>
      </c>
      <c r="K138">
        <f>Anchoveta!I93</f>
        <v>0</v>
      </c>
      <c r="L138">
        <f>Anchoveta!K93</f>
        <v>0</v>
      </c>
      <c r="M138" s="36" t="e">
        <f>Anchoveta!L93</f>
        <v>#DIV/0!</v>
      </c>
      <c r="N138" s="101" t="str">
        <f>'IC Anch y SardC VIII'!O76</f>
        <v>-</v>
      </c>
      <c r="O138" s="28">
        <f>RESUMEN!$B$3</f>
        <v>45483</v>
      </c>
      <c r="P138">
        <v>2024</v>
      </c>
    </row>
    <row r="139" spans="1:16">
      <c r="A139" t="s">
        <v>217</v>
      </c>
      <c r="B139" t="s">
        <v>181</v>
      </c>
      <c r="C139" t="s">
        <v>237</v>
      </c>
      <c r="D139" t="s">
        <v>232</v>
      </c>
      <c r="E139" t="str">
        <f>Anchoveta!D94</f>
        <v>Sindicato de Trabajadores Independientes, Pescadores Artesanales Pelágicos, Patrones y Tripulantes de Pesca Artesanal y Actividades Conexas de la Comuna de Talcahuano, " ASPAS". Registro Sindical Único 08.05.0474</v>
      </c>
      <c r="F139" s="28">
        <v>45292</v>
      </c>
      <c r="G139" s="28">
        <v>45657</v>
      </c>
      <c r="H139">
        <f>Anchoveta!F94</f>
        <v>1787.4069999999999</v>
      </c>
      <c r="I139">
        <f>Anchoveta!G94</f>
        <v>0</v>
      </c>
      <c r="J139">
        <f>Anchoveta!H94</f>
        <v>1787.4069999999999</v>
      </c>
      <c r="K139">
        <f>Anchoveta!I94</f>
        <v>359.24200000000002</v>
      </c>
      <c r="L139">
        <f>Anchoveta!K94</f>
        <v>1428.165</v>
      </c>
      <c r="M139" s="36">
        <f>Anchoveta!L94</f>
        <v>0.200985002296623</v>
      </c>
      <c r="N139" s="101" t="str">
        <f>'IC Anch y SardC VIII'!O77</f>
        <v>-</v>
      </c>
      <c r="O139" s="28">
        <f>RESUMEN!$B$3</f>
        <v>45483</v>
      </c>
      <c r="P139">
        <v>2024</v>
      </c>
    </row>
    <row r="140" spans="1:16">
      <c r="A140" t="s">
        <v>217</v>
      </c>
      <c r="B140" t="s">
        <v>181</v>
      </c>
      <c r="C140" t="s">
        <v>237</v>
      </c>
      <c r="D140" t="s">
        <v>232</v>
      </c>
      <c r="E140" t="str">
        <f>Anchoveta!D95</f>
        <v>Sindicato de Trabajadores Independientes, Pescadores Artesanales y Ramos Afines Sta Maria Comuna de Talcahuano, " SIPASMA". Registro Sindical Único 08.05.0602</v>
      </c>
      <c r="F140" s="28">
        <v>45292</v>
      </c>
      <c r="G140" s="28">
        <v>45657</v>
      </c>
      <c r="H140">
        <f>Anchoveta!F95</f>
        <v>2021.009</v>
      </c>
      <c r="I140">
        <f>Anchoveta!G95</f>
        <v>0</v>
      </c>
      <c r="J140">
        <f>Anchoveta!H95</f>
        <v>2021.009</v>
      </c>
      <c r="K140">
        <f>Anchoveta!I95</f>
        <v>411.47799999999995</v>
      </c>
      <c r="L140">
        <f>Anchoveta!K95</f>
        <v>1609.5309999999999</v>
      </c>
      <c r="M140" s="36">
        <f>Anchoveta!L95</f>
        <v>0.2036002808498131</v>
      </c>
      <c r="N140" s="101" t="str">
        <f>'IC Anch y SardC VIII'!O78</f>
        <v>-</v>
      </c>
      <c r="O140" s="28">
        <f>RESUMEN!$B$3</f>
        <v>45483</v>
      </c>
      <c r="P140">
        <v>2024</v>
      </c>
    </row>
    <row r="141" spans="1:16">
      <c r="A141" t="s">
        <v>217</v>
      </c>
      <c r="B141" t="s">
        <v>181</v>
      </c>
      <c r="C141" t="s">
        <v>237</v>
      </c>
      <c r="D141" t="s">
        <v>232</v>
      </c>
      <c r="E141" t="str">
        <f>Anchoveta!D96</f>
        <v>Sindicato de Trabajadores Independientes, Pescadores Artesanales, Armadores Artesanales y Actividades Conexas de la Caleta de Lota VIII Región "SIPAR GENTE DE MAR". Registros Sindical Único 08.07.0326</v>
      </c>
      <c r="F141" s="28">
        <v>45292</v>
      </c>
      <c r="G141" s="28">
        <v>45657</v>
      </c>
      <c r="H141">
        <f>Anchoveta!F96</f>
        <v>3135.1529999999998</v>
      </c>
      <c r="I141">
        <f>Anchoveta!G96</f>
        <v>-100</v>
      </c>
      <c r="J141">
        <f>Anchoveta!H96</f>
        <v>3035.1529999999998</v>
      </c>
      <c r="K141">
        <f>Anchoveta!I96</f>
        <v>2199.1949999999997</v>
      </c>
      <c r="L141">
        <f>Anchoveta!K96</f>
        <v>835.95800000000008</v>
      </c>
      <c r="M141" s="36">
        <f>Anchoveta!L96</f>
        <v>0.72457467547764476</v>
      </c>
      <c r="N141" s="101" t="str">
        <f>'IC Anch y SardC VIII'!O79</f>
        <v>-</v>
      </c>
      <c r="O141" s="28">
        <f>RESUMEN!$B$3</f>
        <v>45483</v>
      </c>
      <c r="P141">
        <v>2024</v>
      </c>
    </row>
    <row r="142" spans="1:16">
      <c r="A142" t="s">
        <v>217</v>
      </c>
      <c r="B142" t="s">
        <v>181</v>
      </c>
      <c r="C142" t="s">
        <v>237</v>
      </c>
      <c r="D142" t="s">
        <v>232</v>
      </c>
      <c r="E142" t="str">
        <f>Anchoveta!D97</f>
        <v>Sindicato de Trabajadores Independientes, Pescadores Artesanales, Armadores Artesanales, "Rio Maipo" de la Caleta de San Vicente de la Comuna de Talcahuano; Registro Sindical Único 08.05.0488.</v>
      </c>
      <c r="F142" s="28">
        <v>45292</v>
      </c>
      <c r="G142" s="28">
        <v>45657</v>
      </c>
      <c r="H142">
        <f>Anchoveta!F97</f>
        <v>946.30899999999997</v>
      </c>
      <c r="I142">
        <f>Anchoveta!G97</f>
        <v>0</v>
      </c>
      <c r="J142">
        <f>Anchoveta!H97</f>
        <v>946.30899999999997</v>
      </c>
      <c r="K142">
        <f>Anchoveta!I97</f>
        <v>57.412000000000006</v>
      </c>
      <c r="L142">
        <f>Anchoveta!K97</f>
        <v>888.89699999999993</v>
      </c>
      <c r="M142" s="36">
        <f>Anchoveta!L97</f>
        <v>6.0669400798259353E-2</v>
      </c>
      <c r="N142" s="101" t="str">
        <f>'IC Anch y SardC VIII'!O80</f>
        <v>-</v>
      </c>
      <c r="O142" s="28">
        <f>RESUMEN!$B$3</f>
        <v>45483</v>
      </c>
      <c r="P142">
        <v>2024</v>
      </c>
    </row>
    <row r="143" spans="1:16">
      <c r="A143" t="s">
        <v>217</v>
      </c>
      <c r="B143" t="s">
        <v>181</v>
      </c>
      <c r="C143" t="s">
        <v>237</v>
      </c>
      <c r="D143" t="s">
        <v>232</v>
      </c>
      <c r="E143" t="str">
        <f>Anchoveta!D98</f>
        <v>Sindicato de Trabajadores Independientes, Pescadores Artesanales, Armadores Artesanales, Buzos Mariscadores y Recolectores de Orilla Isla Santa Maria Puerto Sur, Registro Sindical Único 08.07.0364.</v>
      </c>
      <c r="F143" s="28">
        <v>45292</v>
      </c>
      <c r="G143" s="28">
        <v>45657</v>
      </c>
      <c r="H143">
        <f>Anchoveta!F98</f>
        <v>14.074</v>
      </c>
      <c r="I143">
        <f>Anchoveta!G98</f>
        <v>0</v>
      </c>
      <c r="J143">
        <f>Anchoveta!H98</f>
        <v>14.074</v>
      </c>
      <c r="K143">
        <f>Anchoveta!I98</f>
        <v>7.8209999999999997</v>
      </c>
      <c r="L143">
        <f>Anchoveta!K98</f>
        <v>6.2530000000000001</v>
      </c>
      <c r="M143" s="36">
        <f>Anchoveta!L98</f>
        <v>0</v>
      </c>
      <c r="N143" s="101" t="str">
        <f>'IC Anch y SardC VIII'!O81</f>
        <v>-</v>
      </c>
      <c r="O143" s="28">
        <f>RESUMEN!$B$3</f>
        <v>45483</v>
      </c>
      <c r="P143">
        <v>2024</v>
      </c>
    </row>
    <row r="144" spans="1:16">
      <c r="A144" t="s">
        <v>217</v>
      </c>
      <c r="B144" t="s">
        <v>181</v>
      </c>
      <c r="C144" t="s">
        <v>237</v>
      </c>
      <c r="D144" t="s">
        <v>232</v>
      </c>
      <c r="E144" t="str">
        <f>Anchoveta!D99</f>
        <v>Sindicato de Trabajadores Independientes, Tripulantes y Armadores de Botes, Pescadores Artesanales, Algueros, Mariscadores y Actividades conexas de la caleta Tumbes de la comuna de Talcahuano. Registro Sindical Único 08.05.0495</v>
      </c>
      <c r="F144" s="28">
        <v>45292</v>
      </c>
      <c r="G144" s="28">
        <v>45657</v>
      </c>
      <c r="H144">
        <f>Anchoveta!F99</f>
        <v>398.16800000000001</v>
      </c>
      <c r="I144">
        <f>Anchoveta!G99</f>
        <v>0</v>
      </c>
      <c r="J144">
        <f>Anchoveta!H99</f>
        <v>398.16800000000001</v>
      </c>
      <c r="K144">
        <f>Anchoveta!I99</f>
        <v>106.63399999999999</v>
      </c>
      <c r="L144">
        <f>Anchoveta!K99</f>
        <v>291.53399999999999</v>
      </c>
      <c r="M144" s="36">
        <f>Anchoveta!L99</f>
        <v>0.2678115770227642</v>
      </c>
      <c r="N144" s="101" t="str">
        <f>'IC Anch y SardC VIII'!O82</f>
        <v>-</v>
      </c>
      <c r="O144" s="28">
        <f>RESUMEN!$B$3</f>
        <v>45483</v>
      </c>
      <c r="P144">
        <v>2024</v>
      </c>
    </row>
    <row r="145" spans="1:16">
      <c r="A145" t="s">
        <v>217</v>
      </c>
      <c r="B145" t="s">
        <v>181</v>
      </c>
      <c r="C145" t="s">
        <v>237</v>
      </c>
      <c r="D145" t="s">
        <v>232</v>
      </c>
      <c r="E145" t="str">
        <f>Anchoveta!D100</f>
        <v>Sindicato Independiente de Armadores Pescadores Artesanales Tripulantes y Ramas Similares "Bahia Concepción", Registro Sindical Unico 08.05.0648</v>
      </c>
      <c r="F145" s="28">
        <v>45292</v>
      </c>
      <c r="G145" s="28">
        <v>45657</v>
      </c>
      <c r="H145">
        <f>Anchoveta!F100</f>
        <v>1511.412</v>
      </c>
      <c r="I145">
        <f>Anchoveta!G100</f>
        <v>0</v>
      </c>
      <c r="J145">
        <f>Anchoveta!H100</f>
        <v>1511.412</v>
      </c>
      <c r="K145">
        <f>Anchoveta!I100</f>
        <v>524.02</v>
      </c>
      <c r="L145">
        <f>Anchoveta!K100</f>
        <v>987.39200000000005</v>
      </c>
      <c r="M145" s="36">
        <f>Anchoveta!L100</f>
        <v>0.3467089053150299</v>
      </c>
      <c r="N145" s="101" t="str">
        <f>'IC Anch y SardC VIII'!O83</f>
        <v>-</v>
      </c>
      <c r="O145" s="28">
        <f>RESUMEN!$B$3</f>
        <v>45483</v>
      </c>
      <c r="P145">
        <v>2024</v>
      </c>
    </row>
    <row r="146" spans="1:16">
      <c r="A146" t="s">
        <v>217</v>
      </c>
      <c r="B146" t="s">
        <v>181</v>
      </c>
      <c r="C146" t="s">
        <v>237</v>
      </c>
      <c r="D146" t="s">
        <v>232</v>
      </c>
      <c r="E146" t="str">
        <f>Anchoveta!D101</f>
        <v>Sindicato Independiente de Armadores y Pescadores Artesanales Afines "SARPE". Registro Sindical Único 08.05.0398</v>
      </c>
      <c r="F146" s="28">
        <v>45292</v>
      </c>
      <c r="G146" s="28">
        <v>45657</v>
      </c>
      <c r="H146">
        <f>Anchoveta!F101</f>
        <v>8095.6049999999996</v>
      </c>
      <c r="I146">
        <f>Anchoveta!G101</f>
        <v>1094</v>
      </c>
      <c r="J146">
        <f>Anchoveta!H101</f>
        <v>9189.6049999999996</v>
      </c>
      <c r="K146">
        <f>Anchoveta!I101</f>
        <v>3703.4959999999996</v>
      </c>
      <c r="L146">
        <f>Anchoveta!K101</f>
        <v>5486.1090000000004</v>
      </c>
      <c r="M146" s="36">
        <f>Anchoveta!L101</f>
        <v>0.40300926971289841</v>
      </c>
      <c r="N146" s="101" t="str">
        <f>'IC Anch y SardC VIII'!O84</f>
        <v>-</v>
      </c>
      <c r="O146" s="28">
        <f>RESUMEN!$B$3</f>
        <v>45483</v>
      </c>
      <c r="P146">
        <v>2024</v>
      </c>
    </row>
    <row r="147" spans="1:16">
      <c r="A147" t="s">
        <v>217</v>
      </c>
      <c r="B147" t="s">
        <v>181</v>
      </c>
      <c r="C147" t="s">
        <v>237</v>
      </c>
      <c r="D147" t="s">
        <v>232</v>
      </c>
      <c r="E147" t="str">
        <f>Anchoveta!D102</f>
        <v>Sindicato Independiente de Pescadores Artesanales Activos Coronel (RSU N° 08.07.0512)</v>
      </c>
      <c r="F147" s="28">
        <v>45292</v>
      </c>
      <c r="G147" s="28">
        <v>45657</v>
      </c>
      <c r="H147">
        <f>Anchoveta!F102</f>
        <v>53.351999999999997</v>
      </c>
      <c r="I147">
        <f>Anchoveta!G102</f>
        <v>0</v>
      </c>
      <c r="J147">
        <f>Anchoveta!H102</f>
        <v>53.351999999999997</v>
      </c>
      <c r="K147">
        <f>Anchoveta!I102</f>
        <v>0</v>
      </c>
      <c r="L147">
        <f>Anchoveta!K102</f>
        <v>53.351999999999997</v>
      </c>
      <c r="M147" s="36">
        <f>Anchoveta!L102</f>
        <v>0</v>
      </c>
      <c r="N147" s="101" t="str">
        <f>'IC Anch y SardC VIII'!O85</f>
        <v>-</v>
      </c>
      <c r="O147" s="28">
        <f>RESUMEN!$B$3</f>
        <v>45483</v>
      </c>
      <c r="P147">
        <v>2024</v>
      </c>
    </row>
    <row r="148" spans="1:16">
      <c r="A148" t="s">
        <v>217</v>
      </c>
      <c r="B148" t="s">
        <v>181</v>
      </c>
      <c r="C148" t="s">
        <v>237</v>
      </c>
      <c r="D148" t="s">
        <v>232</v>
      </c>
      <c r="E148" t="str">
        <f>Anchoveta!D103</f>
        <v>Sociedad Cooperativa Benesino Limitada ROL 5871</v>
      </c>
      <c r="F148" s="28">
        <v>45292</v>
      </c>
      <c r="G148" s="28">
        <v>45657</v>
      </c>
      <c r="H148">
        <f>Anchoveta!F103</f>
        <v>76.721999999999994</v>
      </c>
      <c r="I148">
        <f>Anchoveta!G103</f>
        <v>0</v>
      </c>
      <c r="J148">
        <f>Anchoveta!H103</f>
        <v>76.721999999999994</v>
      </c>
      <c r="K148">
        <f>Anchoveta!I103</f>
        <v>25.410999999999998</v>
      </c>
      <c r="L148">
        <f>Anchoveta!K103</f>
        <v>51.310999999999993</v>
      </c>
      <c r="M148" s="36">
        <f>Anchoveta!L103</f>
        <v>0.33120877975026719</v>
      </c>
      <c r="N148" s="101" t="str">
        <f>'IC Anch y SardC VIII'!O86</f>
        <v>-</v>
      </c>
      <c r="O148" s="28">
        <f>RESUMEN!$B$3</f>
        <v>45483</v>
      </c>
      <c r="P148">
        <v>2024</v>
      </c>
    </row>
    <row r="149" spans="1:16">
      <c r="A149" t="s">
        <v>217</v>
      </c>
      <c r="B149" t="s">
        <v>181</v>
      </c>
      <c r="C149" t="s">
        <v>237</v>
      </c>
      <c r="D149" t="s">
        <v>232</v>
      </c>
      <c r="E149" t="str">
        <f>Anchoveta!D104</f>
        <v>STI Armadores y Pescadores artesanales, Acuicultores, Algueros (as) y Ramos afines "MAFMAR", Registro Sindical Unico 08.05.0645</v>
      </c>
      <c r="F149" s="28">
        <v>45292</v>
      </c>
      <c r="G149" s="28">
        <v>45657</v>
      </c>
      <c r="H149">
        <f>Anchoveta!F104</f>
        <v>1730.075</v>
      </c>
      <c r="I149">
        <f>Anchoveta!G104</f>
        <v>97.1</v>
      </c>
      <c r="J149">
        <f>Anchoveta!H104</f>
        <v>1827.175</v>
      </c>
      <c r="K149">
        <f>Anchoveta!I104</f>
        <v>595.72200000000009</v>
      </c>
      <c r="L149">
        <f>Anchoveta!K104</f>
        <v>1231.453</v>
      </c>
      <c r="M149" s="36">
        <f>Anchoveta!L104</f>
        <v>0.32603445209134324</v>
      </c>
      <c r="N149" s="101" t="str">
        <f>'IC Anch y SardC VIII'!O87</f>
        <v>-</v>
      </c>
      <c r="O149" s="28">
        <f>RESUMEN!$B$3</f>
        <v>45483</v>
      </c>
      <c r="P149">
        <v>2024</v>
      </c>
    </row>
    <row r="150" spans="1:16">
      <c r="A150" t="s">
        <v>217</v>
      </c>
      <c r="B150" t="s">
        <v>181</v>
      </c>
      <c r="C150" t="s">
        <v>237</v>
      </c>
      <c r="D150" t="s">
        <v>232</v>
      </c>
      <c r="E150" t="str">
        <f>Anchoveta!D105</f>
        <v>CUOTA RESIDUAL VIII</v>
      </c>
      <c r="F150" s="28">
        <v>45292</v>
      </c>
      <c r="G150" s="28">
        <v>45657</v>
      </c>
      <c r="H150">
        <f>Anchoveta!F105</f>
        <v>20.605</v>
      </c>
      <c r="I150">
        <f>Anchoveta!G105</f>
        <v>0</v>
      </c>
      <c r="J150">
        <f>Anchoveta!H105</f>
        <v>20.605</v>
      </c>
      <c r="K150">
        <f>Anchoveta!I105</f>
        <v>0</v>
      </c>
      <c r="L150">
        <f>Anchoveta!K105</f>
        <v>20.605</v>
      </c>
      <c r="M150" s="36">
        <f>Anchoveta!L105</f>
        <v>0</v>
      </c>
      <c r="N150" s="101">
        <f>'IC Anch y SardC VIII'!O88</f>
        <v>45359</v>
      </c>
      <c r="O150" s="28">
        <f>RESUMEN!$B$3</f>
        <v>45483</v>
      </c>
      <c r="P150">
        <v>2024</v>
      </c>
    </row>
    <row r="151" spans="1:16" s="107" customFormat="1">
      <c r="A151" s="108" t="s">
        <v>217</v>
      </c>
      <c r="B151" s="108" t="s">
        <v>181</v>
      </c>
      <c r="C151" s="108" t="s">
        <v>237</v>
      </c>
      <c r="D151" s="127" t="s">
        <v>328</v>
      </c>
      <c r="E151" s="108" t="str">
        <f>Anchoveta!D107</f>
        <v>Total Región del Biobio y el Ñuble</v>
      </c>
      <c r="F151" s="133">
        <v>45292</v>
      </c>
      <c r="G151" s="133">
        <v>45657</v>
      </c>
      <c r="H151" s="108">
        <f>Anchoveta!F107</f>
        <v>168463.92400000003</v>
      </c>
      <c r="I151" s="112">
        <f>Anchoveta!G107</f>
        <v>-2149.7269999999999</v>
      </c>
      <c r="J151" s="112">
        <f>Anchoveta!H107</f>
        <v>166314.19700000001</v>
      </c>
      <c r="K151" s="112">
        <f>Anchoveta!I107</f>
        <v>70633.411999999997</v>
      </c>
      <c r="L151" s="112">
        <f>Anchoveta!K107</f>
        <v>95680.785000000018</v>
      </c>
      <c r="M151" s="110">
        <f>Anchoveta!L107</f>
        <v>0.42469863231218913</v>
      </c>
      <c r="N151" s="111" t="str">
        <f>Anchoveta!M107</f>
        <v>-</v>
      </c>
      <c r="O151" s="109">
        <f>RESUMEN!$B$3</f>
        <v>45483</v>
      </c>
      <c r="P151">
        <v>2024</v>
      </c>
    </row>
    <row r="152" spans="1:16">
      <c r="A152" t="s">
        <v>217</v>
      </c>
      <c r="B152" t="s">
        <v>181</v>
      </c>
      <c r="C152" t="s">
        <v>202</v>
      </c>
      <c r="D152" s="127" t="s">
        <v>328</v>
      </c>
      <c r="E152" t="str">
        <f>Anchoveta!D109</f>
        <v>Región de la Araucanía</v>
      </c>
      <c r="F152" s="28">
        <v>45292</v>
      </c>
      <c r="G152" s="28">
        <v>45657</v>
      </c>
      <c r="H152">
        <f>Anchoveta!F109</f>
        <v>2625</v>
      </c>
      <c r="I152">
        <f>Anchoveta!G109</f>
        <v>0</v>
      </c>
      <c r="J152">
        <f>Anchoveta!H109</f>
        <v>2625</v>
      </c>
      <c r="K152">
        <f>Anchoveta!I109</f>
        <v>1453.922</v>
      </c>
      <c r="L152">
        <f>Anchoveta!K109</f>
        <v>1171.078</v>
      </c>
      <c r="M152" s="36">
        <f>Anchoveta!L109</f>
        <v>0.5538750476190476</v>
      </c>
      <c r="N152" s="101">
        <f>'IC Anch-SardC V-VII y IX-X'!O19</f>
        <v>45429</v>
      </c>
      <c r="O152" s="28">
        <f>RESUMEN!$B$3</f>
        <v>45483</v>
      </c>
      <c r="P152">
        <v>2024</v>
      </c>
    </row>
    <row r="153" spans="1:16">
      <c r="A153" s="124" t="s">
        <v>217</v>
      </c>
      <c r="B153" s="124" t="s">
        <v>181</v>
      </c>
      <c r="C153" s="124" t="s">
        <v>202</v>
      </c>
      <c r="D153" s="127" t="s">
        <v>328</v>
      </c>
      <c r="E153" s="124" t="str">
        <f>Anchoveta!D111</f>
        <v>Total Región de la Araucanía</v>
      </c>
      <c r="F153" s="131">
        <v>45292</v>
      </c>
      <c r="G153" s="131">
        <v>45657</v>
      </c>
      <c r="H153" s="124">
        <f>Anchoveta!F111</f>
        <v>2625</v>
      </c>
      <c r="I153" s="124">
        <f>Anchoveta!G111</f>
        <v>0</v>
      </c>
      <c r="J153" s="124">
        <f>Anchoveta!H111</f>
        <v>2625</v>
      </c>
      <c r="K153" s="124">
        <f>Anchoveta!I111</f>
        <v>1453.922</v>
      </c>
      <c r="L153" s="124">
        <f>Anchoveta!K111</f>
        <v>1171.078</v>
      </c>
      <c r="M153" s="129">
        <f>Anchoveta!L111</f>
        <v>0.5538750476190476</v>
      </c>
      <c r="N153" s="130" t="str">
        <f>Anchoveta!M111</f>
        <v>-</v>
      </c>
      <c r="O153" s="28">
        <f>RESUMEN!$B$3</f>
        <v>45483</v>
      </c>
      <c r="P153">
        <v>2024</v>
      </c>
    </row>
    <row r="154" spans="1:16">
      <c r="A154" t="s">
        <v>217</v>
      </c>
      <c r="B154" t="s">
        <v>181</v>
      </c>
      <c r="C154" t="s">
        <v>201</v>
      </c>
      <c r="D154" t="s">
        <v>232</v>
      </c>
      <c r="E154" t="str">
        <f>Anchoveta!D113</f>
        <v>AG APEVAL. RAG 29-14</v>
      </c>
      <c r="F154" s="28">
        <v>45292</v>
      </c>
      <c r="G154" s="28">
        <v>45657</v>
      </c>
      <c r="H154">
        <f>Anchoveta!F113</f>
        <v>617.09299999999996</v>
      </c>
      <c r="I154">
        <f>Anchoveta!G113</f>
        <v>-270</v>
      </c>
      <c r="J154">
        <f>Anchoveta!H113</f>
        <v>347.09299999999996</v>
      </c>
      <c r="K154">
        <f>Anchoveta!I113</f>
        <v>160.828</v>
      </c>
      <c r="L154">
        <f>Anchoveta!K113</f>
        <v>186.26499999999996</v>
      </c>
      <c r="M154" s="36">
        <f>Anchoveta!L113</f>
        <v>0.4633570829719989</v>
      </c>
      <c r="N154" s="101" t="str">
        <f>Anchoveta!M113</f>
        <v>-</v>
      </c>
      <c r="O154" s="28">
        <f>RESUMEN!$B$3</f>
        <v>45483</v>
      </c>
      <c r="P154">
        <v>2024</v>
      </c>
    </row>
    <row r="155" spans="1:16">
      <c r="A155" t="s">
        <v>217</v>
      </c>
      <c r="B155" t="s">
        <v>181</v>
      </c>
      <c r="C155" t="s">
        <v>201</v>
      </c>
      <c r="D155" t="s">
        <v>232</v>
      </c>
      <c r="E155" t="str">
        <f>Anchoveta!D114</f>
        <v>AG ACERMAR. RAG 4205</v>
      </c>
      <c r="F155" s="28">
        <v>45292</v>
      </c>
      <c r="G155" s="28">
        <v>45657</v>
      </c>
      <c r="H155">
        <f>Anchoveta!F114</f>
        <v>1255.5519999999999</v>
      </c>
      <c r="I155">
        <f>Anchoveta!G114</f>
        <v>-365.85500000000002</v>
      </c>
      <c r="J155">
        <f>Anchoveta!H114</f>
        <v>889.69699999999989</v>
      </c>
      <c r="K155">
        <f>Anchoveta!I114</f>
        <v>685.47300000000007</v>
      </c>
      <c r="L155">
        <f>Anchoveta!K114</f>
        <v>204.22399999999982</v>
      </c>
      <c r="M155" s="36">
        <f>Anchoveta!L114</f>
        <v>0.77045668356755181</v>
      </c>
      <c r="N155" s="101">
        <f>Anchoveta!M114</f>
        <v>0</v>
      </c>
      <c r="O155" s="28">
        <f>RESUMEN!$B$3</f>
        <v>45483</v>
      </c>
      <c r="P155">
        <v>2024</v>
      </c>
    </row>
    <row r="156" spans="1:16">
      <c r="A156" t="s">
        <v>217</v>
      </c>
      <c r="B156" t="s">
        <v>181</v>
      </c>
      <c r="C156" t="s">
        <v>201</v>
      </c>
      <c r="D156" t="s">
        <v>232</v>
      </c>
      <c r="E156" t="str">
        <f>Anchoveta!D115</f>
        <v>AG PERSARPEL. RAG 115-14</v>
      </c>
      <c r="F156" s="28">
        <v>45292</v>
      </c>
      <c r="G156" s="28">
        <v>45657</v>
      </c>
      <c r="H156">
        <f>Anchoveta!F115</f>
        <v>1588.259</v>
      </c>
      <c r="I156">
        <f>Anchoveta!G115</f>
        <v>0</v>
      </c>
      <c r="J156">
        <f>Anchoveta!H115</f>
        <v>1588.259</v>
      </c>
      <c r="K156">
        <f>Anchoveta!I115</f>
        <v>1496.375</v>
      </c>
      <c r="L156">
        <f>Anchoveta!K115</f>
        <v>91.884000000000015</v>
      </c>
      <c r="M156" s="36">
        <f>Anchoveta!L115</f>
        <v>0.94214797460615685</v>
      </c>
      <c r="N156" s="101"/>
      <c r="O156" s="28">
        <f>RESUMEN!B3</f>
        <v>45483</v>
      </c>
      <c r="P156">
        <v>2024</v>
      </c>
    </row>
    <row r="157" spans="1:16">
      <c r="A157" t="s">
        <v>217</v>
      </c>
      <c r="B157" t="s">
        <v>181</v>
      </c>
      <c r="C157" t="s">
        <v>201</v>
      </c>
      <c r="D157" t="s">
        <v>232</v>
      </c>
      <c r="E157" t="str">
        <f>Anchoveta!D116</f>
        <v>AG ACER. RAG 3793</v>
      </c>
      <c r="F157" s="28">
        <v>45292</v>
      </c>
      <c r="G157" s="28">
        <v>45657</v>
      </c>
      <c r="H157">
        <f>Anchoveta!F116</f>
        <v>1286.867</v>
      </c>
      <c r="I157">
        <f>Anchoveta!G116</f>
        <v>-225</v>
      </c>
      <c r="J157">
        <f>Anchoveta!H116</f>
        <v>1061.867</v>
      </c>
      <c r="K157">
        <f>Anchoveta!I116</f>
        <v>656.45400000000006</v>
      </c>
      <c r="L157">
        <f>Anchoveta!K116</f>
        <v>405.4129999999999</v>
      </c>
      <c r="M157" s="36">
        <f>Anchoveta!L116</f>
        <v>0.61820736495248474</v>
      </c>
      <c r="N157" s="101" t="str">
        <f>Anchoveta!M116</f>
        <v>-</v>
      </c>
      <c r="O157" s="28">
        <f>RESUMEN!$B$3</f>
        <v>45483</v>
      </c>
      <c r="P157">
        <v>2024</v>
      </c>
    </row>
    <row r="158" spans="1:16">
      <c r="A158" t="s">
        <v>217</v>
      </c>
      <c r="B158" t="s">
        <v>181</v>
      </c>
      <c r="C158" t="s">
        <v>201</v>
      </c>
      <c r="D158" t="s">
        <v>232</v>
      </c>
      <c r="E158" t="str">
        <f>Anchoveta!D117</f>
        <v>AG SIPACERVAL RAG 44-14</v>
      </c>
      <c r="F158" s="28">
        <v>45292</v>
      </c>
      <c r="G158" s="28">
        <v>45657</v>
      </c>
      <c r="H158">
        <f>Anchoveta!F117</f>
        <v>6550.3280000000004</v>
      </c>
      <c r="I158">
        <f>Anchoveta!G117</f>
        <v>50</v>
      </c>
      <c r="J158">
        <f>Anchoveta!H117</f>
        <v>6600.3280000000004</v>
      </c>
      <c r="K158">
        <f>Anchoveta!I117</f>
        <v>3873.4259999999995</v>
      </c>
      <c r="L158">
        <f>Anchoveta!K117</f>
        <v>2726.902000000001</v>
      </c>
      <c r="M158" s="36">
        <f>Anchoveta!L117</f>
        <v>0.58685356242901854</v>
      </c>
      <c r="N158" s="101" t="str">
        <f>Anchoveta!M117</f>
        <v>-</v>
      </c>
      <c r="O158" s="28">
        <f>RESUMEN!$B$3</f>
        <v>45483</v>
      </c>
      <c r="P158">
        <v>2024</v>
      </c>
    </row>
    <row r="159" spans="1:16">
      <c r="A159" t="s">
        <v>217</v>
      </c>
      <c r="B159" t="s">
        <v>181</v>
      </c>
      <c r="C159" t="s">
        <v>201</v>
      </c>
      <c r="D159" t="s">
        <v>232</v>
      </c>
      <c r="E159" t="str">
        <f>Anchoveta!D118</f>
        <v>AG ARMAPES. RAG 264-10</v>
      </c>
      <c r="F159" s="28">
        <v>45292</v>
      </c>
      <c r="G159" s="28">
        <v>45657</v>
      </c>
      <c r="H159">
        <f>Anchoveta!F118</f>
        <v>1439.287</v>
      </c>
      <c r="I159">
        <f>Anchoveta!G118</f>
        <v>-358</v>
      </c>
      <c r="J159">
        <f>Anchoveta!H118</f>
        <v>1081.287</v>
      </c>
      <c r="K159">
        <f>Anchoveta!I118</f>
        <v>766.97500000000002</v>
      </c>
      <c r="L159">
        <f>Anchoveta!K118</f>
        <v>314.31200000000001</v>
      </c>
      <c r="M159" s="36">
        <f>Anchoveta!L118</f>
        <v>0.7093167678886364</v>
      </c>
      <c r="N159" s="101">
        <f>Anchoveta!M118</f>
        <v>0</v>
      </c>
      <c r="O159" s="28">
        <f>RESUMEN!$B$3</f>
        <v>45483</v>
      </c>
      <c r="P159">
        <v>2024</v>
      </c>
    </row>
    <row r="160" spans="1:16">
      <c r="A160" t="s">
        <v>217</v>
      </c>
      <c r="B160" t="s">
        <v>181</v>
      </c>
      <c r="C160" t="s">
        <v>201</v>
      </c>
      <c r="D160" t="s">
        <v>232</v>
      </c>
      <c r="E160" t="str">
        <f>Anchoveta!D119</f>
        <v>AG APACER. RAG 46-14</v>
      </c>
      <c r="F160" s="28">
        <v>45292</v>
      </c>
      <c r="G160" s="28">
        <v>45657</v>
      </c>
      <c r="H160">
        <f>Anchoveta!F119</f>
        <v>965.40599999999995</v>
      </c>
      <c r="I160">
        <f>Anchoveta!G119</f>
        <v>0</v>
      </c>
      <c r="J160">
        <f>Anchoveta!H119</f>
        <v>965.40599999999995</v>
      </c>
      <c r="K160">
        <f>Anchoveta!I119</f>
        <v>551.99400000000003</v>
      </c>
      <c r="L160">
        <f>Anchoveta!K119</f>
        <v>413.41199999999992</v>
      </c>
      <c r="M160" s="36">
        <f>Anchoveta!L119</f>
        <v>0.57177394795557523</v>
      </c>
      <c r="N160" s="101" t="str">
        <f>Anchoveta!M119</f>
        <v>-</v>
      </c>
      <c r="O160" s="28">
        <f>RESUMEN!$B$3</f>
        <v>45483</v>
      </c>
      <c r="P160">
        <v>2024</v>
      </c>
    </row>
    <row r="161" spans="1:16">
      <c r="A161" t="s">
        <v>217</v>
      </c>
      <c r="B161" t="s">
        <v>181</v>
      </c>
      <c r="C161" t="s">
        <v>201</v>
      </c>
      <c r="D161" t="s">
        <v>232</v>
      </c>
      <c r="E161" t="str">
        <f>Anchoveta!D120</f>
        <v>STI DE AMARGO. RSU 14.01.0105</v>
      </c>
      <c r="F161" s="28">
        <v>45292</v>
      </c>
      <c r="G161" s="28">
        <v>45657</v>
      </c>
      <c r="H161">
        <f>Anchoveta!F120</f>
        <v>1123.5630000000001</v>
      </c>
      <c r="I161">
        <f>Anchoveta!G120</f>
        <v>0</v>
      </c>
      <c r="J161">
        <f>Anchoveta!H120</f>
        <v>1123.5630000000001</v>
      </c>
      <c r="K161">
        <f>Anchoveta!I120</f>
        <v>872.92100000000016</v>
      </c>
      <c r="L161">
        <f>Anchoveta!K120</f>
        <v>250.64199999999994</v>
      </c>
      <c r="M161" s="36">
        <f>Anchoveta!L120</f>
        <v>0.77692216635827283</v>
      </c>
      <c r="N161" s="101" t="str">
        <f>Anchoveta!M120</f>
        <v>-</v>
      </c>
      <c r="O161" s="28">
        <f>RESUMEN!$B$3</f>
        <v>45483</v>
      </c>
      <c r="P161">
        <v>2024</v>
      </c>
    </row>
    <row r="162" spans="1:16">
      <c r="A162" t="s">
        <v>217</v>
      </c>
      <c r="B162" t="s">
        <v>181</v>
      </c>
      <c r="C162" t="s">
        <v>201</v>
      </c>
      <c r="D162" t="s">
        <v>232</v>
      </c>
      <c r="E162" t="str">
        <f>Anchoveta!D121</f>
        <v>STI DEL BALNEARIO DE NIEBLA. RSU 14.01.0127</v>
      </c>
      <c r="F162" s="28">
        <v>45292</v>
      </c>
      <c r="G162" s="28">
        <v>45657</v>
      </c>
      <c r="H162">
        <f>Anchoveta!F121</f>
        <v>418.98099999999999</v>
      </c>
      <c r="I162">
        <f>Anchoveta!G121</f>
        <v>-200</v>
      </c>
      <c r="J162">
        <f>Anchoveta!H121</f>
        <v>218.98099999999999</v>
      </c>
      <c r="K162">
        <f>Anchoveta!I121</f>
        <v>0.01</v>
      </c>
      <c r="L162">
        <f>Anchoveta!K121</f>
        <v>218.971</v>
      </c>
      <c r="M162" s="36">
        <f>Anchoveta!L121</f>
        <v>4.5666062352441535E-5</v>
      </c>
      <c r="N162" s="101" t="str">
        <f>Anchoveta!M121</f>
        <v>-</v>
      </c>
      <c r="O162" s="28">
        <f>RESUMEN!$B$3</f>
        <v>45483</v>
      </c>
      <c r="P162">
        <v>2024</v>
      </c>
    </row>
    <row r="163" spans="1:16">
      <c r="A163" t="s">
        <v>217</v>
      </c>
      <c r="B163" t="s">
        <v>181</v>
      </c>
      <c r="C163" t="s">
        <v>201</v>
      </c>
      <c r="D163" t="s">
        <v>232</v>
      </c>
      <c r="E163" t="str">
        <f>Anchoveta!D122</f>
        <v>STI ARPAVAL. RSU 14.01.0514</v>
      </c>
      <c r="F163" s="28">
        <v>45292</v>
      </c>
      <c r="G163" s="28">
        <v>45657</v>
      </c>
      <c r="H163">
        <f>Anchoveta!F122</f>
        <v>408.73500000000001</v>
      </c>
      <c r="I163">
        <f>Anchoveta!G122</f>
        <v>-247.1</v>
      </c>
      <c r="J163">
        <f>Anchoveta!H122</f>
        <v>161.63500000000002</v>
      </c>
      <c r="K163">
        <f>Anchoveta!I122</f>
        <v>77.784999999999997</v>
      </c>
      <c r="L163">
        <f>Anchoveta!K122</f>
        <v>83.850000000000023</v>
      </c>
      <c r="M163" s="36">
        <f>Anchoveta!L122</f>
        <v>0.48123859312648859</v>
      </c>
      <c r="N163" s="101">
        <f>Anchoveta!M122</f>
        <v>0</v>
      </c>
      <c r="O163" s="28">
        <f>RESUMEN!$B$3</f>
        <v>45483</v>
      </c>
      <c r="P163">
        <v>2024</v>
      </c>
    </row>
    <row r="164" spans="1:16">
      <c r="A164" t="s">
        <v>217</v>
      </c>
      <c r="B164" t="s">
        <v>181</v>
      </c>
      <c r="C164" t="s">
        <v>201</v>
      </c>
      <c r="D164" t="s">
        <v>232</v>
      </c>
      <c r="E164" t="str">
        <f>Anchoveta!D123</f>
        <v>CUOTA RESIDUAL XIV</v>
      </c>
      <c r="F164" s="28">
        <v>45292</v>
      </c>
      <c r="G164" s="28">
        <v>45657</v>
      </c>
      <c r="H164">
        <f>Anchoveta!F123</f>
        <v>163.941</v>
      </c>
      <c r="I164">
        <f>Anchoveta!G123</f>
        <v>0</v>
      </c>
      <c r="J164">
        <f>Anchoveta!H123</f>
        <v>163.941</v>
      </c>
      <c r="K164">
        <f>Anchoveta!I123</f>
        <v>109.289</v>
      </c>
      <c r="L164">
        <f>Anchoveta!K123</f>
        <v>54.652000000000001</v>
      </c>
      <c r="M164" s="36">
        <f>Anchoveta!L123</f>
        <v>0.66663616788966762</v>
      </c>
      <c r="N164" s="101" t="str">
        <f>Anchoveta!M123</f>
        <v>-</v>
      </c>
      <c r="O164" s="28">
        <f>RESUMEN!$B$3</f>
        <v>45483</v>
      </c>
      <c r="P164">
        <v>2024</v>
      </c>
    </row>
    <row r="165" spans="1:16">
      <c r="A165" s="124" t="s">
        <v>217</v>
      </c>
      <c r="B165" s="124" t="s">
        <v>181</v>
      </c>
      <c r="C165" s="124" t="s">
        <v>201</v>
      </c>
      <c r="D165" s="127" t="s">
        <v>328</v>
      </c>
      <c r="E165" s="124" t="str">
        <f>Anchoveta!D125</f>
        <v xml:space="preserve">Total Región de Los Rios </v>
      </c>
      <c r="F165" s="131">
        <v>45292</v>
      </c>
      <c r="G165" s="131">
        <v>45657</v>
      </c>
      <c r="H165" s="124">
        <f>Anchoveta!F125</f>
        <v>15818.012000000002</v>
      </c>
      <c r="I165" s="124">
        <f>Anchoveta!G125</f>
        <v>-1615.9549999999999</v>
      </c>
      <c r="J165" s="124">
        <f>Anchoveta!H125</f>
        <v>14202.057000000003</v>
      </c>
      <c r="K165" s="124">
        <f>Anchoveta!I125</f>
        <v>9251.5300000000007</v>
      </c>
      <c r="L165" s="124">
        <f>Anchoveta!K125</f>
        <v>4950.5270000000019</v>
      </c>
      <c r="M165" s="129">
        <f>Anchoveta!L125</f>
        <v>0.65142183276690124</v>
      </c>
      <c r="N165" s="130" t="str">
        <f>Anchoveta!M125</f>
        <v>-</v>
      </c>
      <c r="O165" s="28">
        <f>RESUMEN!$B$3</f>
        <v>45483</v>
      </c>
      <c r="P165">
        <v>2024</v>
      </c>
    </row>
    <row r="166" spans="1:16">
      <c r="A166" t="s">
        <v>217</v>
      </c>
      <c r="B166" t="s">
        <v>181</v>
      </c>
      <c r="C166" t="s">
        <v>239</v>
      </c>
      <c r="D166" t="s">
        <v>232</v>
      </c>
      <c r="E166" t="str">
        <f>Anchoveta!D127</f>
        <v>ARMAR AG. RAG 320-10</v>
      </c>
      <c r="F166" s="28">
        <v>45292</v>
      </c>
      <c r="G166" s="28">
        <v>45657</v>
      </c>
      <c r="H166">
        <f>Anchoveta!F127</f>
        <v>556.85900000000004</v>
      </c>
      <c r="I166">
        <f>Anchoveta!G127</f>
        <v>-404.923</v>
      </c>
      <c r="J166">
        <f>Anchoveta!H127</f>
        <v>151.93600000000004</v>
      </c>
      <c r="K166">
        <f>Anchoveta!I127</f>
        <v>1</v>
      </c>
      <c r="L166">
        <f>Anchoveta!K127</f>
        <v>150.93600000000004</v>
      </c>
      <c r="M166" s="36">
        <f>Anchoveta!L127</f>
        <v>6.5817186183656264E-3</v>
      </c>
      <c r="N166" s="101" t="str">
        <f>Anchoveta!M127</f>
        <v>-</v>
      </c>
      <c r="O166" s="28">
        <f>RESUMEN!$B$3</f>
        <v>45483</v>
      </c>
      <c r="P166">
        <v>2024</v>
      </c>
    </row>
    <row r="167" spans="1:16">
      <c r="A167" t="s">
        <v>217</v>
      </c>
      <c r="B167" t="s">
        <v>181</v>
      </c>
      <c r="C167" t="s">
        <v>239</v>
      </c>
      <c r="D167" t="s">
        <v>232</v>
      </c>
      <c r="E167" t="str">
        <f>Anchoveta!D128</f>
        <v>ASOGFER AG. RAG 310-10</v>
      </c>
      <c r="F167" s="28">
        <v>45292</v>
      </c>
      <c r="G167" s="28">
        <v>45657</v>
      </c>
      <c r="H167">
        <f>Anchoveta!F128</f>
        <v>1987.1030000000001</v>
      </c>
      <c r="I167">
        <f>Anchoveta!G128</f>
        <v>-450</v>
      </c>
      <c r="J167">
        <f>Anchoveta!H128</f>
        <v>1537.1030000000001</v>
      </c>
      <c r="K167">
        <f>Anchoveta!I128</f>
        <v>37.152999999999999</v>
      </c>
      <c r="L167">
        <f>Anchoveta!K128</f>
        <v>1499.95</v>
      </c>
      <c r="M167" s="36">
        <f>Anchoveta!L128</f>
        <v>2.4170794019659058E-2</v>
      </c>
      <c r="N167" s="101" t="str">
        <f>Anchoveta!M128</f>
        <v>-</v>
      </c>
      <c r="O167" s="28">
        <f>RESUMEN!$B$3</f>
        <v>45483</v>
      </c>
      <c r="P167">
        <v>2024</v>
      </c>
    </row>
    <row r="168" spans="1:16">
      <c r="A168" t="s">
        <v>217</v>
      </c>
      <c r="B168" t="s">
        <v>181</v>
      </c>
      <c r="C168" t="s">
        <v>239</v>
      </c>
      <c r="D168" t="s">
        <v>232</v>
      </c>
      <c r="E168" t="str">
        <f>Anchoveta!D129</f>
        <v>AGARMAR.  RAG 156-10</v>
      </c>
      <c r="F168" s="28">
        <v>45292</v>
      </c>
      <c r="G168" s="28">
        <v>45657</v>
      </c>
      <c r="H168">
        <f>Anchoveta!F129</f>
        <v>2345.748</v>
      </c>
      <c r="I168">
        <f>Anchoveta!G129</f>
        <v>-748</v>
      </c>
      <c r="J168">
        <f>Anchoveta!H129</f>
        <v>1597.748</v>
      </c>
      <c r="K168">
        <f>Anchoveta!I129</f>
        <v>134.85900000000001</v>
      </c>
      <c r="L168">
        <f>Anchoveta!K129</f>
        <v>1462.8890000000001</v>
      </c>
      <c r="M168" s="36">
        <f>Anchoveta!L129</f>
        <v>8.4405675988954459E-2</v>
      </c>
      <c r="N168" s="101" t="str">
        <f>Anchoveta!M129</f>
        <v>-</v>
      </c>
      <c r="O168" s="28">
        <f>RESUMEN!$B$3</f>
        <v>45483</v>
      </c>
      <c r="P168">
        <v>2024</v>
      </c>
    </row>
    <row r="169" spans="1:16">
      <c r="A169" t="s">
        <v>217</v>
      </c>
      <c r="B169" t="s">
        <v>181</v>
      </c>
      <c r="C169" t="s">
        <v>239</v>
      </c>
      <c r="D169" t="s">
        <v>232</v>
      </c>
      <c r="E169" t="str">
        <f>Anchoveta!D130</f>
        <v>PESCA AUSTRAL. RAG 326-10</v>
      </c>
      <c r="F169" s="28">
        <v>45292</v>
      </c>
      <c r="G169" s="28">
        <v>45657</v>
      </c>
      <c r="H169">
        <f>Anchoveta!F130</f>
        <v>729.61800000000005</v>
      </c>
      <c r="I169">
        <f>Anchoveta!G130</f>
        <v>-518.57000000000005</v>
      </c>
      <c r="J169">
        <f>Anchoveta!H130</f>
        <v>211.048</v>
      </c>
      <c r="K169">
        <f>Anchoveta!I130</f>
        <v>0</v>
      </c>
      <c r="L169">
        <f>Anchoveta!K130</f>
        <v>211.048</v>
      </c>
      <c r="M169" s="36">
        <f>Anchoveta!L130</f>
        <v>0</v>
      </c>
      <c r="N169" s="101">
        <f>Anchoveta!M130</f>
        <v>0</v>
      </c>
      <c r="O169" s="28">
        <f>RESUMEN!$B$3</f>
        <v>45483</v>
      </c>
      <c r="P169">
        <v>2024</v>
      </c>
    </row>
    <row r="170" spans="1:16">
      <c r="A170" t="s">
        <v>217</v>
      </c>
      <c r="B170" t="s">
        <v>181</v>
      </c>
      <c r="C170" t="s">
        <v>239</v>
      </c>
      <c r="D170" t="s">
        <v>232</v>
      </c>
      <c r="E170" t="str">
        <f>Anchoveta!D131</f>
        <v>ASOGPESCA ANCUD. RAG 4266</v>
      </c>
      <c r="F170" s="28">
        <v>45292</v>
      </c>
      <c r="G170" s="28">
        <v>45657</v>
      </c>
      <c r="H170">
        <f>Anchoveta!F131</f>
        <v>766.65899999999999</v>
      </c>
      <c r="I170">
        <f>Anchoveta!G131</f>
        <v>-500</v>
      </c>
      <c r="J170">
        <f>Anchoveta!H131</f>
        <v>266.65899999999999</v>
      </c>
      <c r="K170">
        <f>Anchoveta!I131</f>
        <v>19.119999999999997</v>
      </c>
      <c r="L170">
        <f>Anchoveta!K131</f>
        <v>247.53899999999999</v>
      </c>
      <c r="M170" s="36">
        <f>Anchoveta!L131</f>
        <v>7.1702061434266232E-2</v>
      </c>
      <c r="N170" s="101" t="str">
        <f>Anchoveta!M131</f>
        <v>-</v>
      </c>
      <c r="O170" s="28">
        <f>RESUMEN!$B$3</f>
        <v>45483</v>
      </c>
      <c r="P170">
        <v>2024</v>
      </c>
    </row>
    <row r="171" spans="1:16">
      <c r="A171" t="s">
        <v>217</v>
      </c>
      <c r="B171" t="s">
        <v>181</v>
      </c>
      <c r="C171" t="s">
        <v>239</v>
      </c>
      <c r="D171" t="s">
        <v>232</v>
      </c>
      <c r="E171" t="str">
        <f>Anchoveta!D132</f>
        <v>AQUEPESCA. RAG 270-10</v>
      </c>
      <c r="F171" s="28">
        <v>45292</v>
      </c>
      <c r="G171" s="28">
        <v>45657</v>
      </c>
      <c r="H171">
        <f>Anchoveta!F132</f>
        <v>159.36000000000001</v>
      </c>
      <c r="I171">
        <f>Anchoveta!G132</f>
        <v>0</v>
      </c>
      <c r="J171">
        <f>Anchoveta!H132</f>
        <v>159.36000000000001</v>
      </c>
      <c r="K171">
        <f>Anchoveta!I132</f>
        <v>0</v>
      </c>
      <c r="L171">
        <f>Anchoveta!K132</f>
        <v>159.36000000000001</v>
      </c>
      <c r="M171" s="36">
        <f>Anchoveta!L132</f>
        <v>0</v>
      </c>
      <c r="N171" s="101" t="str">
        <f>Anchoveta!M132</f>
        <v>-</v>
      </c>
      <c r="O171" s="28">
        <f>RESUMEN!$B$3</f>
        <v>45483</v>
      </c>
      <c r="P171">
        <v>2024</v>
      </c>
    </row>
    <row r="172" spans="1:16">
      <c r="A172" t="s">
        <v>217</v>
      </c>
      <c r="B172" t="s">
        <v>181</v>
      </c>
      <c r="C172" t="s">
        <v>239</v>
      </c>
      <c r="D172" t="s">
        <v>232</v>
      </c>
      <c r="E172" t="str">
        <f>Anchoveta!D133</f>
        <v>STI CAMINO CHINQUIHUE. RSU 10.01.0942</v>
      </c>
      <c r="F172" s="28">
        <v>45292</v>
      </c>
      <c r="G172" s="28">
        <v>45657</v>
      </c>
      <c r="H172">
        <f>Anchoveta!F133</f>
        <v>384.255</v>
      </c>
      <c r="I172">
        <f>Anchoveta!G133</f>
        <v>-154</v>
      </c>
      <c r="J172">
        <f>Anchoveta!H133</f>
        <v>230.255</v>
      </c>
      <c r="K172">
        <f>Anchoveta!I133</f>
        <v>0</v>
      </c>
      <c r="L172">
        <f>Anchoveta!K133</f>
        <v>230.255</v>
      </c>
      <c r="M172" s="36">
        <f>Anchoveta!L133</f>
        <v>0.40077552666848837</v>
      </c>
      <c r="N172" s="101" t="str">
        <f>Anchoveta!M133</f>
        <v>-</v>
      </c>
      <c r="O172" s="28">
        <f>RESUMEN!$B$3</f>
        <v>45483</v>
      </c>
      <c r="P172">
        <v>2024</v>
      </c>
    </row>
    <row r="173" spans="1:16">
      <c r="A173" t="s">
        <v>217</v>
      </c>
      <c r="B173" t="s">
        <v>181</v>
      </c>
      <c r="C173" t="s">
        <v>239</v>
      </c>
      <c r="D173" t="s">
        <v>232</v>
      </c>
      <c r="E173" t="str">
        <f>Anchoveta!D134</f>
        <v xml:space="preserve">STI PECERCAL RSU 10.01.0948 </v>
      </c>
      <c r="F173" s="28">
        <v>45292</v>
      </c>
      <c r="G173" s="28">
        <v>45657</v>
      </c>
      <c r="H173">
        <f>Anchoveta!F134</f>
        <v>2000.288</v>
      </c>
      <c r="I173">
        <f>Anchoveta!G134</f>
        <v>-1128.1579999999999</v>
      </c>
      <c r="J173">
        <f>Anchoveta!H134</f>
        <v>872.13000000000011</v>
      </c>
      <c r="K173">
        <f>Anchoveta!I134</f>
        <v>25.582000000000001</v>
      </c>
      <c r="L173">
        <f>Anchoveta!K134</f>
        <v>846.54800000000012</v>
      </c>
      <c r="M173" s="36">
        <f>Anchoveta!L134</f>
        <v>2.9332782956669301E-2</v>
      </c>
      <c r="N173" s="101" t="str">
        <f>Anchoveta!M134</f>
        <v>-</v>
      </c>
      <c r="O173" s="28">
        <f>RESUMEN!$B$3</f>
        <v>45483</v>
      </c>
      <c r="P173">
        <v>2024</v>
      </c>
    </row>
    <row r="174" spans="1:16">
      <c r="A174" t="s">
        <v>217</v>
      </c>
      <c r="B174" t="s">
        <v>181</v>
      </c>
      <c r="C174" t="s">
        <v>239</v>
      </c>
      <c r="D174" t="s">
        <v>232</v>
      </c>
      <c r="E174" t="str">
        <f>Anchoveta!D135</f>
        <v>ST PUERTO MONTT. RSU 10.01.0591</v>
      </c>
      <c r="F174" s="28">
        <v>45292</v>
      </c>
      <c r="G174" s="28">
        <v>45657</v>
      </c>
      <c r="H174">
        <f>Anchoveta!F135</f>
        <v>227.351</v>
      </c>
      <c r="I174">
        <f>Anchoveta!G135</f>
        <v>-120</v>
      </c>
      <c r="J174">
        <f>Anchoveta!H135</f>
        <v>107.351</v>
      </c>
      <c r="K174">
        <f>Anchoveta!I135</f>
        <v>0</v>
      </c>
      <c r="L174">
        <f>Anchoveta!K135</f>
        <v>107.351</v>
      </c>
      <c r="M174" s="36">
        <f>Anchoveta!L135</f>
        <v>0</v>
      </c>
      <c r="N174" s="101"/>
      <c r="O174" s="28">
        <f>RESUMEN!$B$3</f>
        <v>45483</v>
      </c>
      <c r="P174">
        <v>2024</v>
      </c>
    </row>
    <row r="175" spans="1:16">
      <c r="A175" t="s">
        <v>217</v>
      </c>
      <c r="B175" t="s">
        <v>181</v>
      </c>
      <c r="C175" t="s">
        <v>239</v>
      </c>
      <c r="D175" t="s">
        <v>232</v>
      </c>
      <c r="E175" t="str">
        <f>Anchoveta!D136</f>
        <v>STI PROVEEDORES MARITIMOS DE QUILLAIPE. RSU 10.01.0835</v>
      </c>
      <c r="F175" s="28">
        <v>45292</v>
      </c>
      <c r="G175" s="28">
        <v>45657</v>
      </c>
      <c r="H175">
        <f>Anchoveta!F136</f>
        <v>339.83699999999999</v>
      </c>
      <c r="I175">
        <f>Anchoveta!G136</f>
        <v>-254</v>
      </c>
      <c r="J175">
        <f>Anchoveta!H136</f>
        <v>85.836999999999989</v>
      </c>
      <c r="K175">
        <f>Anchoveta!I136</f>
        <v>0</v>
      </c>
      <c r="L175">
        <f>Anchoveta!K136</f>
        <v>85.836999999999989</v>
      </c>
      <c r="M175" s="36">
        <f>Anchoveta!L136</f>
        <v>0</v>
      </c>
      <c r="N175" s="101" t="str">
        <f>Anchoveta!M136</f>
        <v>-</v>
      </c>
      <c r="O175" s="28">
        <f>RESUMEN!$B$3</f>
        <v>45483</v>
      </c>
      <c r="P175">
        <v>2024</v>
      </c>
    </row>
    <row r="176" spans="1:16">
      <c r="A176" t="s">
        <v>217</v>
      </c>
      <c r="B176" t="s">
        <v>181</v>
      </c>
      <c r="C176" t="s">
        <v>239</v>
      </c>
      <c r="D176" t="s">
        <v>232</v>
      </c>
      <c r="E176" t="str">
        <f>Anchoveta!D137</f>
        <v>CUOTA RESIDUAL X</v>
      </c>
      <c r="F176" s="28">
        <v>45292</v>
      </c>
      <c r="G176" s="28">
        <v>45657</v>
      </c>
      <c r="H176">
        <f>Anchoveta!F137</f>
        <v>247.923</v>
      </c>
      <c r="I176">
        <f>Anchoveta!G137</f>
        <v>0</v>
      </c>
      <c r="J176">
        <f>Anchoveta!H137</f>
        <v>247.923</v>
      </c>
      <c r="K176">
        <f>Anchoveta!I137</f>
        <v>117.244</v>
      </c>
      <c r="L176">
        <f>Anchoveta!K137</f>
        <v>130.679</v>
      </c>
      <c r="M176" s="36">
        <f>Anchoveta!L137</f>
        <v>0.47290489385817369</v>
      </c>
      <c r="N176" s="101">
        <f>Anchoveta!M137</f>
        <v>0</v>
      </c>
      <c r="O176" s="28">
        <f>RESUMEN!$B$3</f>
        <v>45483</v>
      </c>
      <c r="P176">
        <v>2024</v>
      </c>
    </row>
    <row r="177" spans="1:16">
      <c r="A177" s="124" t="s">
        <v>217</v>
      </c>
      <c r="B177" s="124" t="s">
        <v>181</v>
      </c>
      <c r="C177" s="124" t="s">
        <v>239</v>
      </c>
      <c r="D177" s="127" t="s">
        <v>328</v>
      </c>
      <c r="E177" s="124" t="str">
        <f>Anchoveta!D139</f>
        <v xml:space="preserve">Total Región de Los Lagos </v>
      </c>
      <c r="F177" s="131">
        <v>45292</v>
      </c>
      <c r="G177" s="131">
        <v>45657</v>
      </c>
      <c r="H177" s="124">
        <f>Anchoveta!F139</f>
        <v>9745.0010000000002</v>
      </c>
      <c r="I177" s="124">
        <f>Anchoveta!G139</f>
        <v>-4277.6509999999998</v>
      </c>
      <c r="J177" s="124">
        <f>Anchoveta!H139</f>
        <v>5467.35</v>
      </c>
      <c r="K177" s="124">
        <f>Anchoveta!I139</f>
        <v>334.95799999999997</v>
      </c>
      <c r="L177" s="124">
        <f>Anchoveta!K139</f>
        <v>5132.3920000000007</v>
      </c>
      <c r="M177" s="129">
        <f>Anchoveta!L139</f>
        <v>6.1265146734706934E-2</v>
      </c>
      <c r="N177" s="130" t="str">
        <f>Anchoveta!M139</f>
        <v>-</v>
      </c>
      <c r="O177" s="28">
        <f>RESUMEN!$B$3</f>
        <v>45483</v>
      </c>
      <c r="P177">
        <v>2024</v>
      </c>
    </row>
    <row r="178" spans="1:16">
      <c r="A178" t="s">
        <v>147</v>
      </c>
      <c r="B178" t="s">
        <v>240</v>
      </c>
      <c r="C178" t="s">
        <v>233</v>
      </c>
      <c r="D178" t="s">
        <v>232</v>
      </c>
      <c r="E178" t="str">
        <f>'Sardina comun'!D7</f>
        <v>AG DEL PUERTO DE SAN ANTONIO. RAG 2510</v>
      </c>
      <c r="F178" s="28">
        <v>45292</v>
      </c>
      <c r="G178" s="28">
        <v>45657</v>
      </c>
      <c r="H178">
        <f>'Sardina comun'!F7</f>
        <v>2510.4340000000002</v>
      </c>
      <c r="I178">
        <f>'Sardina comun'!G7</f>
        <v>-2510.4340000000002</v>
      </c>
      <c r="J178">
        <f>'Sardina comun'!H7</f>
        <v>0</v>
      </c>
      <c r="K178">
        <f>'Sardina comun'!I7</f>
        <v>0</v>
      </c>
      <c r="L178">
        <f>'Sardina comun'!K7</f>
        <v>0</v>
      </c>
      <c r="M178" s="36">
        <f>'Sardina comun'!L7</f>
        <v>1</v>
      </c>
      <c r="N178" s="101">
        <f>'Sardina comun'!M7</f>
        <v>0</v>
      </c>
      <c r="O178" s="28">
        <f>RESUMEN!$B$3</f>
        <v>45483</v>
      </c>
      <c r="P178">
        <v>2024</v>
      </c>
    </row>
    <row r="179" spans="1:16">
      <c r="A179" t="s">
        <v>147</v>
      </c>
      <c r="B179" t="s">
        <v>240</v>
      </c>
      <c r="C179" t="s">
        <v>241</v>
      </c>
      <c r="D179" t="s">
        <v>232</v>
      </c>
      <c r="E179" t="str">
        <f>'Sardina comun'!D8</f>
        <v>ASOCIACION GREMIAL AGRAPES DE SAN ANTONIO "AG AGRAPES" RAG 4399</v>
      </c>
      <c r="F179" s="28">
        <v>45292</v>
      </c>
      <c r="G179" s="28">
        <v>45657</v>
      </c>
      <c r="H179">
        <f>'Sardina comun'!F8</f>
        <v>517.22299999999996</v>
      </c>
      <c r="I179">
        <f>'Sardina comun'!G8</f>
        <v>-517.22299999999996</v>
      </c>
      <c r="J179">
        <f>'Sardina comun'!H8</f>
        <v>0</v>
      </c>
      <c r="K179">
        <f>'Sardina comun'!I8</f>
        <v>0</v>
      </c>
      <c r="L179">
        <f>'Sardina comun'!K8</f>
        <v>0</v>
      </c>
      <c r="M179" s="36">
        <f>'Sardina comun'!L8</f>
        <v>1</v>
      </c>
      <c r="N179" s="101">
        <f>'Sardina comun'!M8</f>
        <v>0</v>
      </c>
      <c r="O179" s="28">
        <f>RESUMEN!$B$3</f>
        <v>45483</v>
      </c>
      <c r="P179">
        <v>2024</v>
      </c>
    </row>
    <row r="180" spans="1:16">
      <c r="A180" t="s">
        <v>147</v>
      </c>
      <c r="B180" t="s">
        <v>240</v>
      </c>
      <c r="C180" t="s">
        <v>241</v>
      </c>
      <c r="D180" t="s">
        <v>232</v>
      </c>
      <c r="E180" t="str">
        <f>'Sardina comun'!D9</f>
        <v>Sindicato  de Trabajadores  Independientes de Pescadores Montemar, de la Comuna de San Antonio, provincia de San Antonio, V region. Registro Único Sindical  N° 05040117</v>
      </c>
      <c r="F180" s="28">
        <v>45292</v>
      </c>
      <c r="G180" s="28">
        <v>45657</v>
      </c>
      <c r="H180">
        <f>'Sardina comun'!F9</f>
        <v>29.111000000000001</v>
      </c>
      <c r="I180">
        <f>'Sardina comun'!G10</f>
        <v>0</v>
      </c>
      <c r="J180">
        <f>'Sardina comun'!H9</f>
        <v>29.111000000000001</v>
      </c>
      <c r="K180">
        <f>'Sardina comun'!I10</f>
        <v>0</v>
      </c>
      <c r="L180">
        <f>'Sardina comun'!K9</f>
        <v>29.111000000000001</v>
      </c>
      <c r="M180" s="36">
        <f>'Sardina comun'!L10</f>
        <v>0</v>
      </c>
      <c r="N180" s="101" t="str">
        <f>'Sardina comun'!M10</f>
        <v>-</v>
      </c>
      <c r="O180" s="28">
        <f>RESUMEN!$B$3</f>
        <v>45483</v>
      </c>
      <c r="P180">
        <v>2024</v>
      </c>
    </row>
    <row r="181" spans="1:16">
      <c r="A181" t="s">
        <v>147</v>
      </c>
      <c r="B181" t="s">
        <v>240</v>
      </c>
      <c r="C181" t="s">
        <v>241</v>
      </c>
      <c r="D181" t="s">
        <v>232</v>
      </c>
      <c r="E181" t="str">
        <f>'Sardina comun'!D10</f>
        <v>Sindicato de Trabajadores Independientes Pescadores Artesanales de Caleta Higuerilla, Concon. Registro Unico Sindical N° 5060048</v>
      </c>
      <c r="F181" s="28">
        <v>45292</v>
      </c>
      <c r="G181" s="28">
        <v>45657</v>
      </c>
      <c r="H181">
        <f>'Sardina comun'!F10</f>
        <v>1.569</v>
      </c>
      <c r="I181">
        <f>'Sardina comun'!G11</f>
        <v>0</v>
      </c>
      <c r="J181">
        <f>'Sardina comun'!H10</f>
        <v>1.569</v>
      </c>
      <c r="K181">
        <f>'Sardina comun'!I11</f>
        <v>0</v>
      </c>
      <c r="L181">
        <f>'Sardina comun'!K10</f>
        <v>1.569</v>
      </c>
      <c r="M181" s="36">
        <f>'Sardina comun'!L11</f>
        <v>0</v>
      </c>
      <c r="N181" s="101" t="str">
        <f>'Sardina comun'!M11</f>
        <v>-</v>
      </c>
      <c r="O181" s="28">
        <f>RESUMEN!$B$3</f>
        <v>45483</v>
      </c>
      <c r="P181">
        <v>2024</v>
      </c>
    </row>
    <row r="182" spans="1:16">
      <c r="A182" t="s">
        <v>147</v>
      </c>
      <c r="B182" t="s">
        <v>240</v>
      </c>
      <c r="C182" t="s">
        <v>241</v>
      </c>
      <c r="D182" t="s">
        <v>232</v>
      </c>
      <c r="E182" t="str">
        <f>'Sardina comun'!D11</f>
        <v>STI MUELLE SUD AMERICANA. RSU 05.01.0462</v>
      </c>
      <c r="F182" s="28">
        <v>45292</v>
      </c>
      <c r="G182" s="28">
        <v>45657</v>
      </c>
      <c r="H182">
        <f>'Sardina comun'!F11</f>
        <v>2.516</v>
      </c>
      <c r="I182">
        <f>'Sardina comun'!G9</f>
        <v>0</v>
      </c>
      <c r="J182">
        <f>'Sardina comun'!H11</f>
        <v>2.516</v>
      </c>
      <c r="K182">
        <f>'Sardina comun'!I9</f>
        <v>0</v>
      </c>
      <c r="L182">
        <f>'Sardina comun'!K11</f>
        <v>2.516</v>
      </c>
      <c r="M182" s="36">
        <f>'Sardina comun'!L9</f>
        <v>0</v>
      </c>
      <c r="N182" s="101" t="str">
        <f>'Sardina comun'!M9</f>
        <v>-</v>
      </c>
      <c r="O182" s="28">
        <f>RESUMEN!$B$3</f>
        <v>45483</v>
      </c>
      <c r="P182">
        <v>2024</v>
      </c>
    </row>
    <row r="183" spans="1:16">
      <c r="A183" t="s">
        <v>147</v>
      </c>
      <c r="B183" t="s">
        <v>240</v>
      </c>
      <c r="C183" t="s">
        <v>241</v>
      </c>
      <c r="D183" t="s">
        <v>232</v>
      </c>
      <c r="E183" t="str">
        <f>'Sardina comun'!D12</f>
        <v>Cuota Residual V</v>
      </c>
      <c r="F183" s="28">
        <v>45292</v>
      </c>
      <c r="G183" s="28">
        <v>45657</v>
      </c>
      <c r="H183">
        <f>'Sardina comun'!F12</f>
        <v>150.14699999999999</v>
      </c>
      <c r="I183">
        <f>'Sardina comun'!G12</f>
        <v>0</v>
      </c>
      <c r="J183">
        <f>'Sardina comun'!H12</f>
        <v>150.14699999999999</v>
      </c>
      <c r="K183">
        <f>'Sardina comun'!I12</f>
        <v>17.600000000000001</v>
      </c>
      <c r="L183">
        <f>'Sardina comun'!K12</f>
        <v>132.547</v>
      </c>
      <c r="M183" s="36">
        <f>'Sardina comun'!L12</f>
        <v>0.11721845924327494</v>
      </c>
      <c r="N183" s="102" t="str">
        <f>'Sardina comun'!M12</f>
        <v>-</v>
      </c>
      <c r="O183" s="28">
        <f>RESUMEN!$B$3</f>
        <v>45483</v>
      </c>
      <c r="P183">
        <v>2024</v>
      </c>
    </row>
    <row r="184" spans="1:16">
      <c r="A184" s="124" t="s">
        <v>147</v>
      </c>
      <c r="B184" s="124" t="s">
        <v>240</v>
      </c>
      <c r="C184" s="124" t="s">
        <v>241</v>
      </c>
      <c r="D184" s="127" t="s">
        <v>328</v>
      </c>
      <c r="E184" s="124" t="str">
        <f>'Sardina comun'!D13</f>
        <v xml:space="preserve">Total Región de Valparaíso </v>
      </c>
      <c r="F184" s="131">
        <v>45292</v>
      </c>
      <c r="G184" s="131">
        <v>45657</v>
      </c>
      <c r="H184" s="124">
        <f>'Sardina comun'!F13</f>
        <v>3211</v>
      </c>
      <c r="I184" s="124">
        <f>'Sardina comun'!G13</f>
        <v>-3027.6570000000002</v>
      </c>
      <c r="J184" s="124">
        <f>'Sardina comun'!H13</f>
        <v>183.34299999999985</v>
      </c>
      <c r="K184" s="124">
        <f>'Sardina comun'!I13</f>
        <v>17.600000000000001</v>
      </c>
      <c r="L184" s="124">
        <f>'Sardina comun'!K13</f>
        <v>165.74299999999985</v>
      </c>
      <c r="M184" s="129">
        <f>'Sardina comun'!L13</f>
        <v>9.5994938448700065E-2</v>
      </c>
      <c r="N184" s="130" t="str">
        <f>'Sardina comun'!M13</f>
        <v>-</v>
      </c>
      <c r="O184" s="28">
        <f>RESUMEN!$B$3</f>
        <v>45483</v>
      </c>
      <c r="P184">
        <v>2024</v>
      </c>
    </row>
    <row r="185" spans="1:16">
      <c r="A185" t="s">
        <v>147</v>
      </c>
      <c r="B185" t="s">
        <v>240</v>
      </c>
      <c r="C185" t="s">
        <v>234</v>
      </c>
      <c r="D185" s="127" t="s">
        <v>328</v>
      </c>
      <c r="E185" t="str">
        <f>'Sardina comun'!D15</f>
        <v>Región de O´Higgins</v>
      </c>
      <c r="F185" s="28">
        <v>45292</v>
      </c>
      <c r="G185" s="28">
        <v>45657</v>
      </c>
      <c r="H185">
        <f>'Sardina comun'!F15</f>
        <v>76</v>
      </c>
      <c r="I185">
        <f>'Sardina comun'!G15</f>
        <v>0</v>
      </c>
      <c r="J185">
        <f>'Sardina comun'!H15</f>
        <v>76</v>
      </c>
      <c r="K185">
        <f>'Sardina comun'!I15</f>
        <v>0</v>
      </c>
      <c r="L185">
        <f>'Sardina comun'!K15</f>
        <v>76</v>
      </c>
      <c r="M185" s="36">
        <f>'Sardina comun'!L15</f>
        <v>0</v>
      </c>
      <c r="N185" s="101" t="str">
        <f>'Sardina comun'!M15</f>
        <v>-</v>
      </c>
      <c r="O185" s="28">
        <f>RESUMEN!$B$3</f>
        <v>45483</v>
      </c>
      <c r="P185">
        <v>2024</v>
      </c>
    </row>
    <row r="186" spans="1:16">
      <c r="A186" s="124" t="s">
        <v>147</v>
      </c>
      <c r="B186" s="124" t="s">
        <v>240</v>
      </c>
      <c r="C186" s="124" t="s">
        <v>234</v>
      </c>
      <c r="D186" s="127" t="s">
        <v>328</v>
      </c>
      <c r="E186" s="124" t="str">
        <f>'Sardina comun'!D16</f>
        <v>Total Región de O´Higgins</v>
      </c>
      <c r="F186" s="131">
        <v>45292</v>
      </c>
      <c r="G186" s="131">
        <v>45657</v>
      </c>
      <c r="H186" s="124">
        <f>'Sardina comun'!F16</f>
        <v>76</v>
      </c>
      <c r="I186" s="124">
        <f>'Sardina comun'!G16</f>
        <v>0</v>
      </c>
      <c r="J186" s="124">
        <f>'Sardina comun'!H16</f>
        <v>76</v>
      </c>
      <c r="K186" s="124">
        <f>'Sardina comun'!I16</f>
        <v>0</v>
      </c>
      <c r="L186" s="124">
        <f>'Sardina comun'!K16</f>
        <v>76</v>
      </c>
      <c r="M186" s="129">
        <f>'Sardina comun'!L16</f>
        <v>0</v>
      </c>
      <c r="N186" s="130" t="str">
        <f>'Sardina comun'!M16</f>
        <v>-</v>
      </c>
      <c r="O186" s="28">
        <f>RESUMEN!$B$3</f>
        <v>45483</v>
      </c>
      <c r="P186">
        <v>2024</v>
      </c>
    </row>
    <row r="187" spans="1:16">
      <c r="A187" t="s">
        <v>147</v>
      </c>
      <c r="B187" t="s">
        <v>240</v>
      </c>
      <c r="C187" t="s">
        <v>235</v>
      </c>
      <c r="D187" t="s">
        <v>232</v>
      </c>
      <c r="E187" t="str">
        <f>'Sardina comun'!D18</f>
        <v>Sindicato de Pescadores "Pelágicos del Maule" Constitución, Registro Sindical Único 07.05.0150</v>
      </c>
      <c r="F187" s="28">
        <v>45292</v>
      </c>
      <c r="G187" s="28">
        <v>45657</v>
      </c>
      <c r="H187">
        <f>'Sardina comun'!F18</f>
        <v>679.029</v>
      </c>
      <c r="I187">
        <f>'Sardina comun'!G18</f>
        <v>0</v>
      </c>
      <c r="J187">
        <f>'Sardina comun'!H18</f>
        <v>679.029</v>
      </c>
      <c r="K187">
        <f>'Sardina comun'!I18</f>
        <v>0</v>
      </c>
      <c r="L187">
        <f>'Sardina comun'!K18</f>
        <v>679.029</v>
      </c>
      <c r="M187" s="36">
        <f>'Sardina comun'!L18</f>
        <v>0</v>
      </c>
      <c r="N187" s="101" t="str">
        <f>'Sardina comun'!M18</f>
        <v>-</v>
      </c>
      <c r="O187" s="28">
        <f>RESUMEN!$B$3</f>
        <v>45483</v>
      </c>
      <c r="P187">
        <v>2024</v>
      </c>
    </row>
    <row r="188" spans="1:16">
      <c r="A188" t="s">
        <v>147</v>
      </c>
      <c r="B188" t="s">
        <v>240</v>
      </c>
      <c r="C188" t="s">
        <v>235</v>
      </c>
      <c r="D188" t="s">
        <v>232</v>
      </c>
      <c r="E188" t="str">
        <f>'Sardina comun'!D19</f>
        <v>STI Pescadores Artesanales de Constitución SIPARCON, RSU 07.05.0193</v>
      </c>
      <c r="F188" s="28">
        <v>45292</v>
      </c>
      <c r="G188" s="28">
        <v>45657</v>
      </c>
      <c r="H188">
        <f>'Sardina comun'!F19</f>
        <v>368.16800000000001</v>
      </c>
      <c r="I188">
        <f>'Sardina comun'!G19</f>
        <v>-368.16800000000001</v>
      </c>
      <c r="J188">
        <f>'Sardina comun'!H19</f>
        <v>0</v>
      </c>
      <c r="K188">
        <f>'Sardina comun'!I19</f>
        <v>0</v>
      </c>
      <c r="L188">
        <f>'Sardina comun'!K19</f>
        <v>0</v>
      </c>
      <c r="M188" s="36">
        <f>'Sardina comun'!L19</f>
        <v>1</v>
      </c>
      <c r="N188" s="101" t="str">
        <f>'Sardina comun'!M19</f>
        <v>-</v>
      </c>
      <c r="O188" s="28">
        <f>RESUMEN!$B$3</f>
        <v>45483</v>
      </c>
      <c r="P188">
        <v>2024</v>
      </c>
    </row>
    <row r="189" spans="1:16">
      <c r="A189" t="s">
        <v>147</v>
      </c>
      <c r="B189" t="s">
        <v>240</v>
      </c>
      <c r="C189" t="s">
        <v>235</v>
      </c>
      <c r="D189" t="s">
        <v>232</v>
      </c>
      <c r="E189" t="str">
        <f>'Sardina comun'!D20</f>
        <v>Cuota Residual VII</v>
      </c>
      <c r="F189" s="28">
        <v>45292</v>
      </c>
      <c r="G189" s="28">
        <v>45657</v>
      </c>
      <c r="H189">
        <f>'Sardina comun'!F20</f>
        <v>113.80200000000001</v>
      </c>
      <c r="I189">
        <f>'Sardina comun'!G20</f>
        <v>0</v>
      </c>
      <c r="J189">
        <f>'Sardina comun'!H20</f>
        <v>113.80200000000001</v>
      </c>
      <c r="K189">
        <f>'Sardina comun'!I20</f>
        <v>0</v>
      </c>
      <c r="L189">
        <f>'Sardina comun'!K20</f>
        <v>113.80200000000001</v>
      </c>
      <c r="M189" s="36">
        <f>'Sardina comun'!L20</f>
        <v>0</v>
      </c>
      <c r="N189" s="101" t="str">
        <f>'Sardina comun'!M20</f>
        <v>-</v>
      </c>
      <c r="O189" s="28">
        <f>RESUMEN!$B$3</f>
        <v>45483</v>
      </c>
      <c r="P189">
        <v>2024</v>
      </c>
    </row>
    <row r="190" spans="1:16">
      <c r="A190" s="124" t="s">
        <v>147</v>
      </c>
      <c r="B190" s="124" t="s">
        <v>240</v>
      </c>
      <c r="C190" s="124" t="s">
        <v>235</v>
      </c>
      <c r="D190" s="127" t="s">
        <v>328</v>
      </c>
      <c r="E190" s="124" t="str">
        <f>'Sardina comun'!D21</f>
        <v>Total Región del Maule</v>
      </c>
      <c r="F190" s="131">
        <v>45292</v>
      </c>
      <c r="G190" s="131">
        <v>45657</v>
      </c>
      <c r="H190">
        <f>'Sardina comun'!F21</f>
        <v>1160.999</v>
      </c>
      <c r="I190">
        <f>'Sardina comun'!G21</f>
        <v>-368.16800000000001</v>
      </c>
      <c r="J190">
        <f>'Sardina comun'!H21</f>
        <v>792.83100000000002</v>
      </c>
      <c r="K190">
        <f>'Sardina comun'!I21</f>
        <v>0</v>
      </c>
      <c r="L190">
        <f>'Sardina comun'!K21</f>
        <v>792.83100000000002</v>
      </c>
      <c r="M190" s="132">
        <f>'Sardina comun'!L21</f>
        <v>0</v>
      </c>
      <c r="N190" s="102" t="str">
        <f>'Sardina comun'!M21</f>
        <v>-</v>
      </c>
      <c r="O190" s="28">
        <f>RESUMEN!$B$3</f>
        <v>45483</v>
      </c>
      <c r="P190">
        <v>2024</v>
      </c>
    </row>
    <row r="191" spans="1:16">
      <c r="A191" t="s">
        <v>147</v>
      </c>
      <c r="B191" t="s">
        <v>240</v>
      </c>
      <c r="C191" t="s">
        <v>237</v>
      </c>
      <c r="D191" t="s">
        <v>232</v>
      </c>
      <c r="E191" t="str">
        <f>'Sardina comun'!D23</f>
        <v>Agrupación de Armadores Golfo de Arauco, Personalidad Jurídica N° 621</v>
      </c>
      <c r="F191" s="28">
        <v>45292</v>
      </c>
      <c r="G191" s="28">
        <v>45657</v>
      </c>
      <c r="H191">
        <f>'Sardina comun'!F23</f>
        <v>200.26300000000001</v>
      </c>
      <c r="I191">
        <f>'Sardina comun'!G23</f>
        <v>-79.400000000000006</v>
      </c>
      <c r="J191">
        <f>'Sardina comun'!H23</f>
        <v>120.863</v>
      </c>
      <c r="K191">
        <f>'Sardina comun'!I23</f>
        <v>1.31</v>
      </c>
      <c r="L191">
        <f>'Sardina comun'!K23</f>
        <v>119.553</v>
      </c>
      <c r="M191" s="36">
        <f>'Sardina comun'!L23</f>
        <v>1.083871821814782E-2</v>
      </c>
      <c r="N191" s="101" t="str">
        <f>'IC Anch y SardC VIII'!O6</f>
        <v>-</v>
      </c>
      <c r="O191" s="28">
        <f>RESUMEN!$B$3</f>
        <v>45483</v>
      </c>
      <c r="P191">
        <v>2024</v>
      </c>
    </row>
    <row r="192" spans="1:16">
      <c r="A192" t="s">
        <v>147</v>
      </c>
      <c r="B192" t="s">
        <v>240</v>
      </c>
      <c r="C192" t="s">
        <v>237</v>
      </c>
      <c r="D192" t="s">
        <v>232</v>
      </c>
      <c r="E192" t="str">
        <f>'Sardina comun'!D24</f>
        <v>Agrupación de Armadores y Pescadores Artesanales Pelágicos Puerto Sur Isla Santa María. Personalidad Jurídica N° 1728</v>
      </c>
      <c r="F192" s="28">
        <v>45292</v>
      </c>
      <c r="G192" s="28">
        <v>45657</v>
      </c>
      <c r="H192">
        <f>'Sardina comun'!F24</f>
        <v>221.27600000000001</v>
      </c>
      <c r="I192">
        <f>'Sardina comun'!G24</f>
        <v>0</v>
      </c>
      <c r="J192">
        <f>'Sardina comun'!H24</f>
        <v>221.27600000000001</v>
      </c>
      <c r="K192">
        <f>'Sardina comun'!I24</f>
        <v>75.869000000000014</v>
      </c>
      <c r="L192">
        <f>'Sardina comun'!K24</f>
        <v>145.40699999999998</v>
      </c>
      <c r="M192" s="36">
        <f>'Sardina comun'!L24</f>
        <v>0.34287044234349867</v>
      </c>
      <c r="N192" s="101" t="str">
        <f>'IC Anch y SardC VIII'!O7</f>
        <v>-</v>
      </c>
      <c r="O192" s="28">
        <f>RESUMEN!$B$3</f>
        <v>45483</v>
      </c>
      <c r="P192">
        <v>2024</v>
      </c>
    </row>
    <row r="193" spans="1:16">
      <c r="A193" t="s">
        <v>147</v>
      </c>
      <c r="B193" t="s">
        <v>240</v>
      </c>
      <c r="C193" t="s">
        <v>237</v>
      </c>
      <c r="D193" t="s">
        <v>232</v>
      </c>
      <c r="E193" t="str">
        <f>'Sardina comun'!D25</f>
        <v>Agrupación de Armadores y Pescadores Pelágicos de Caleta Tubul, Registro de Organización Comunitaria Funcional 478-2007</v>
      </c>
      <c r="F193" s="28">
        <v>45292</v>
      </c>
      <c r="G193" s="28">
        <v>45657</v>
      </c>
      <c r="H193">
        <f>'Sardina comun'!F25</f>
        <v>992.303</v>
      </c>
      <c r="I193">
        <f>'Sardina comun'!G25</f>
        <v>0</v>
      </c>
      <c r="J193">
        <f>'Sardina comun'!H25</f>
        <v>992.303</v>
      </c>
      <c r="K193">
        <f>'Sardina comun'!I25</f>
        <v>200.57300000000001</v>
      </c>
      <c r="L193">
        <f>'Sardina comun'!K25</f>
        <v>791.73</v>
      </c>
      <c r="M193" s="36">
        <f>'Sardina comun'!L25</f>
        <v>0.20212878526014735</v>
      </c>
      <c r="N193" s="101" t="str">
        <f>'IC Anch y SardC VIII'!O8</f>
        <v>-</v>
      </c>
      <c r="O193" s="28">
        <f>RESUMEN!$B$3</f>
        <v>45483</v>
      </c>
      <c r="P193">
        <v>2024</v>
      </c>
    </row>
    <row r="194" spans="1:16">
      <c r="A194" t="s">
        <v>147</v>
      </c>
      <c r="B194" t="s">
        <v>240</v>
      </c>
      <c r="C194" t="s">
        <v>237</v>
      </c>
      <c r="D194" t="s">
        <v>232</v>
      </c>
      <c r="E194" t="str">
        <f>'Sardina comun'!D26</f>
        <v>Agrupación Gremial de Productores Pelágicos, Armadores Artesanales de Talcahuano, Región del Bío Bío "AGREPAR BIO BIO A.G". Registro de Asociaciones Gremiales N° 468-8</v>
      </c>
      <c r="F194" s="28">
        <v>45292</v>
      </c>
      <c r="G194" s="28">
        <v>45657</v>
      </c>
      <c r="H194">
        <f>'Sardina comun'!F26</f>
        <v>2136.7170000000001</v>
      </c>
      <c r="I194">
        <f>'Sardina comun'!G26</f>
        <v>0</v>
      </c>
      <c r="J194">
        <f>'Sardina comun'!H26</f>
        <v>2136.7170000000001</v>
      </c>
      <c r="K194">
        <f>'Sardina comun'!I26</f>
        <v>452.21100000000001</v>
      </c>
      <c r="L194">
        <f>'Sardina comun'!K26</f>
        <v>1684.5060000000001</v>
      </c>
      <c r="M194" s="36">
        <f>'Sardina comun'!L26</f>
        <v>0.21163822817902417</v>
      </c>
      <c r="N194" s="101" t="str">
        <f>'IC Anch y SardC VIII'!O9</f>
        <v>-</v>
      </c>
      <c r="O194" s="28">
        <f>RESUMEN!$B$3</f>
        <v>45483</v>
      </c>
      <c r="P194">
        <v>2024</v>
      </c>
    </row>
    <row r="195" spans="1:16">
      <c r="A195" t="s">
        <v>147</v>
      </c>
      <c r="B195" t="s">
        <v>240</v>
      </c>
      <c r="C195" t="s">
        <v>237</v>
      </c>
      <c r="D195" t="s">
        <v>232</v>
      </c>
      <c r="E195" t="str">
        <f>'Sardina comun'!D27</f>
        <v>Asociación de Armadores, Pescadores Artesanales y Actividades Afines de la Octava Región, Asociación Gremial ARPESCA A.G., Registro de Asociaciones Gremiales 429-8</v>
      </c>
      <c r="F195" s="28">
        <v>45292</v>
      </c>
      <c r="G195" s="28">
        <v>45657</v>
      </c>
      <c r="H195">
        <f>'Sardina comun'!F27</f>
        <v>2807.922</v>
      </c>
      <c r="I195">
        <f>'Sardina comun'!G27</f>
        <v>-2115</v>
      </c>
      <c r="J195">
        <f>'Sardina comun'!H27</f>
        <v>692.92200000000003</v>
      </c>
      <c r="K195">
        <f>'Sardina comun'!I27</f>
        <v>564.30099999999993</v>
      </c>
      <c r="L195">
        <f>'Sardina comun'!K27</f>
        <v>128.62100000000009</v>
      </c>
      <c r="M195" s="36">
        <f>'Sardina comun'!L27</f>
        <v>0.7532260511509935</v>
      </c>
      <c r="N195" s="101" t="str">
        <f>'IC Anch y SardC VIII'!O10</f>
        <v>-</v>
      </c>
      <c r="O195" s="28">
        <f>RESUMEN!$B$3</f>
        <v>45483</v>
      </c>
      <c r="P195">
        <v>2024</v>
      </c>
    </row>
    <row r="196" spans="1:16">
      <c r="A196" t="s">
        <v>147</v>
      </c>
      <c r="B196" t="s">
        <v>240</v>
      </c>
      <c r="C196" t="s">
        <v>237</v>
      </c>
      <c r="D196" t="s">
        <v>232</v>
      </c>
      <c r="E196" t="str">
        <f>'Sardina comun'!D28</f>
        <v>Asociación Gremial Armadores Artesanales Pelágico Coronel-Lota del Bío Bío, ARPES BIO BIO A.G., Registro de Asociaciones Gremiales 445-8</v>
      </c>
      <c r="F196" s="28">
        <v>45292</v>
      </c>
      <c r="G196" s="28">
        <v>45657</v>
      </c>
      <c r="H196">
        <f>'Sardina comun'!F28</f>
        <v>4853.5860000000002</v>
      </c>
      <c r="I196">
        <f>'Sardina comun'!G28</f>
        <v>-450</v>
      </c>
      <c r="J196">
        <f>'Sardina comun'!H28</f>
        <v>4403.5860000000002</v>
      </c>
      <c r="K196">
        <f>'Sardina comun'!I28</f>
        <v>1320.3600000000001</v>
      </c>
      <c r="L196">
        <f>'Sardina comun'!K28</f>
        <v>3083.2260000000001</v>
      </c>
      <c r="M196" s="36">
        <f>'Sardina comun'!L28</f>
        <v>0.29983745065953066</v>
      </c>
      <c r="N196" s="101" t="str">
        <f>'IC Anch y SardC VIII'!O11</f>
        <v>-</v>
      </c>
      <c r="O196" s="28">
        <f>RESUMEN!$B$3</f>
        <v>45483</v>
      </c>
      <c r="P196">
        <v>2024</v>
      </c>
    </row>
    <row r="197" spans="1:16">
      <c r="A197" t="s">
        <v>147</v>
      </c>
      <c r="B197" t="s">
        <v>240</v>
      </c>
      <c r="C197" t="s">
        <v>237</v>
      </c>
      <c r="D197" t="s">
        <v>232</v>
      </c>
      <c r="E197" t="str">
        <f>'Sardina comun'!D29</f>
        <v>Asociación Gremial de Armadores Artesanales "ARMAR A.G.". Registro de Asociaciones Gremiales 384-8</v>
      </c>
      <c r="F197" s="28">
        <v>45292</v>
      </c>
      <c r="G197" s="28">
        <v>45657</v>
      </c>
      <c r="H197">
        <f>'Sardina comun'!F29</f>
        <v>8070.0069999999996</v>
      </c>
      <c r="I197">
        <f>'Sardina comun'!G29</f>
        <v>505</v>
      </c>
      <c r="J197">
        <f>'Sardina comun'!H29</f>
        <v>8575.0069999999996</v>
      </c>
      <c r="K197">
        <f>'Sardina comun'!I29</f>
        <v>2742.5569999999998</v>
      </c>
      <c r="L197">
        <f>'Sardina comun'!K29</f>
        <v>5832.45</v>
      </c>
      <c r="M197" s="36">
        <f>'Sardina comun'!L29</f>
        <v>0.31983145902971272</v>
      </c>
      <c r="N197" s="101" t="str">
        <f>'IC Anch y SardC VIII'!O12</f>
        <v>-</v>
      </c>
      <c r="O197" s="28">
        <f>RESUMEN!$B$3</f>
        <v>45483</v>
      </c>
      <c r="P197">
        <v>2024</v>
      </c>
    </row>
    <row r="198" spans="1:16">
      <c r="A198" t="s">
        <v>147</v>
      </c>
      <c r="B198" t="s">
        <v>240</v>
      </c>
      <c r="C198" t="s">
        <v>237</v>
      </c>
      <c r="D198" t="s">
        <v>232</v>
      </c>
      <c r="E198" t="str">
        <f>'Sardina comun'!D30</f>
        <v xml:space="preserve">Asociación Gremial de Armadores Artesanales VALLEMAR LOTA, Registro de Asociaciones Gremiales 548-8 </v>
      </c>
      <c r="F198" s="28">
        <v>45292</v>
      </c>
      <c r="G198" s="28">
        <v>45657</v>
      </c>
      <c r="H198">
        <f>'Sardina comun'!F30</f>
        <v>2794.9839999999999</v>
      </c>
      <c r="I198">
        <f>'Sardina comun'!G30</f>
        <v>-80</v>
      </c>
      <c r="J198">
        <f>'Sardina comun'!H30</f>
        <v>2714.9839999999999</v>
      </c>
      <c r="K198">
        <f>'Sardina comun'!I30</f>
        <v>525.14300000000003</v>
      </c>
      <c r="L198">
        <f>'Sardina comun'!K30</f>
        <v>2189.8409999999999</v>
      </c>
      <c r="M198" s="36">
        <f>'Sardina comun'!L30</f>
        <v>0.1934239759792323</v>
      </c>
      <c r="N198" s="101" t="str">
        <f>'IC Anch y SardC VIII'!O13</f>
        <v>-</v>
      </c>
      <c r="O198" s="28">
        <f>RESUMEN!$B$3</f>
        <v>45483</v>
      </c>
      <c r="P198">
        <v>2024</v>
      </c>
    </row>
    <row r="199" spans="1:16">
      <c r="A199" t="s">
        <v>147</v>
      </c>
      <c r="B199" t="s">
        <v>240</v>
      </c>
      <c r="C199" t="s">
        <v>237</v>
      </c>
      <c r="D199" t="s">
        <v>232</v>
      </c>
      <c r="E199" t="str">
        <f>'Sardina comun'!D31</f>
        <v>Asociación Gremial de Armadores Artesanales y Productores Pelágicos de la Caleta el Morro de Talcahuano - AGEMAPAR, Registro de Asociaciones Gremiales 376-8</v>
      </c>
      <c r="F199" s="28">
        <v>45292</v>
      </c>
      <c r="G199" s="28">
        <v>45657</v>
      </c>
      <c r="H199">
        <f>'Sardina comun'!F31</f>
        <v>3333.4749999999999</v>
      </c>
      <c r="I199">
        <f>'Sardina comun'!G31</f>
        <v>0</v>
      </c>
      <c r="J199">
        <f>'Sardina comun'!H31</f>
        <v>3333.4749999999999</v>
      </c>
      <c r="K199">
        <f>'Sardina comun'!I31</f>
        <v>441.46099999999996</v>
      </c>
      <c r="L199">
        <f>'Sardina comun'!K31</f>
        <v>2892.0140000000001</v>
      </c>
      <c r="M199" s="36">
        <f>'Sardina comun'!L31</f>
        <v>0.1324326716114565</v>
      </c>
      <c r="N199" s="101" t="str">
        <f>'IC Anch y SardC VIII'!O14</f>
        <v>-</v>
      </c>
      <c r="O199" s="28">
        <f>RESUMEN!$B$3</f>
        <v>45483</v>
      </c>
      <c r="P199">
        <v>2024</v>
      </c>
    </row>
    <row r="200" spans="1:16">
      <c r="A200" t="s">
        <v>147</v>
      </c>
      <c r="B200" t="s">
        <v>240</v>
      </c>
      <c r="C200" t="s">
        <v>237</v>
      </c>
      <c r="D200" t="s">
        <v>232</v>
      </c>
      <c r="E200" t="str">
        <f>'Sardina comun'!D32</f>
        <v>Asociación Gremial de Armadores Embarcaciones Menores "AG MENOR COLIUMO". Registro de Asociaciones Gremiales 507-8</v>
      </c>
      <c r="F200" s="28">
        <v>45292</v>
      </c>
      <c r="G200" s="28">
        <v>45657</v>
      </c>
      <c r="H200">
        <f>'Sardina comun'!F32</f>
        <v>274.87200000000001</v>
      </c>
      <c r="I200">
        <f>'Sardina comun'!G32</f>
        <v>0</v>
      </c>
      <c r="J200">
        <f>'Sardina comun'!H32</f>
        <v>274.87200000000001</v>
      </c>
      <c r="K200">
        <f>'Sardina comun'!I32</f>
        <v>239.93399999999997</v>
      </c>
      <c r="L200">
        <f>'Sardina comun'!K32</f>
        <v>34.938000000000045</v>
      </c>
      <c r="M200" s="36">
        <f>'Sardina comun'!L32</f>
        <v>0.87289356500480209</v>
      </c>
      <c r="N200" s="101" t="str">
        <f>'IC Anch y SardC VIII'!O15</f>
        <v>-</v>
      </c>
      <c r="O200" s="28">
        <f>RESUMEN!$B$3</f>
        <v>45483</v>
      </c>
      <c r="P200">
        <v>2024</v>
      </c>
    </row>
    <row r="201" spans="1:16">
      <c r="A201" t="s">
        <v>147</v>
      </c>
      <c r="B201" t="s">
        <v>240</v>
      </c>
      <c r="C201" t="s">
        <v>237</v>
      </c>
      <c r="D201" t="s">
        <v>232</v>
      </c>
      <c r="E201" t="str">
        <f>'Sardina comun'!D33</f>
        <v>Asociación Gremial de Armadores Históricos del Biobío "ARHISPEL BIOBIO" RAG 701-8</v>
      </c>
      <c r="F201" s="28">
        <v>45292</v>
      </c>
      <c r="G201" s="28">
        <v>45657</v>
      </c>
      <c r="H201">
        <f>'Sardina comun'!F33</f>
        <v>1097.934</v>
      </c>
      <c r="I201">
        <f>'Sardina comun'!G33</f>
        <v>0</v>
      </c>
      <c r="J201">
        <f>'Sardina comun'!H33</f>
        <v>1097.934</v>
      </c>
      <c r="K201">
        <f>'Sardina comun'!I33</f>
        <v>306.01300000000003</v>
      </c>
      <c r="L201">
        <f>'Sardina comun'!K33</f>
        <v>791.92099999999994</v>
      </c>
      <c r="M201" s="36">
        <f>'Sardina comun'!L33</f>
        <v>0.2787171177866794</v>
      </c>
      <c r="N201" s="101" t="str">
        <f>'IC Anch y SardC VIII'!O16</f>
        <v>-</v>
      </c>
      <c r="O201" s="28">
        <f>RESUMEN!$B$3</f>
        <v>45483</v>
      </c>
      <c r="P201">
        <v>2024</v>
      </c>
    </row>
    <row r="202" spans="1:16">
      <c r="A202" t="s">
        <v>147</v>
      </c>
      <c r="B202" t="s">
        <v>240</v>
      </c>
      <c r="C202" t="s">
        <v>237</v>
      </c>
      <c r="D202" t="s">
        <v>232</v>
      </c>
      <c r="E202" t="str">
        <f>'Sardina comun'!D34</f>
        <v>Asociación Gremial de Armadores y Pescadores Artesanales  Miramar BioBio " MIRAMAR BIOBIO  A.G." Registro de Organizaciones Gremiales 633-8</v>
      </c>
      <c r="F202" s="28">
        <v>45292</v>
      </c>
      <c r="G202" s="28">
        <v>45657</v>
      </c>
      <c r="H202">
        <f>'Sardina comun'!F34</f>
        <v>2737.4459999999999</v>
      </c>
      <c r="I202">
        <f>'Sardina comun'!G34</f>
        <v>-175</v>
      </c>
      <c r="J202">
        <f>'Sardina comun'!H34</f>
        <v>2562.4459999999999</v>
      </c>
      <c r="K202">
        <f>'Sardina comun'!I34</f>
        <v>724.23500000000001</v>
      </c>
      <c r="L202">
        <f>'Sardina comun'!K34</f>
        <v>1838.2109999999998</v>
      </c>
      <c r="M202" s="36">
        <f>'Sardina comun'!L34</f>
        <v>0.28263424868270398</v>
      </c>
      <c r="N202" s="101" t="str">
        <f>'IC Anch y SardC VIII'!O17</f>
        <v>-</v>
      </c>
      <c r="O202" s="28">
        <f>RESUMEN!$B$3</f>
        <v>45483</v>
      </c>
      <c r="P202">
        <v>2024</v>
      </c>
    </row>
    <row r="203" spans="1:16">
      <c r="A203" t="s">
        <v>147</v>
      </c>
      <c r="B203" t="s">
        <v>240</v>
      </c>
      <c r="C203" t="s">
        <v>237</v>
      </c>
      <c r="D203" t="s">
        <v>232</v>
      </c>
      <c r="E203" t="str">
        <f>'Sardina comun'!D35</f>
        <v>Asociación Gremial de Armadores, Pescadores Artesanales y Actividades Afines, SIMBA A.G. Registro de Asociaciones Gremiales RAG N° 679-8</v>
      </c>
      <c r="F203" s="28">
        <v>45292</v>
      </c>
      <c r="G203" s="28">
        <v>45657</v>
      </c>
      <c r="H203">
        <f>'Sardina comun'!F35</f>
        <v>4279.2579999999998</v>
      </c>
      <c r="I203">
        <f>'Sardina comun'!G35</f>
        <v>267.22299999999996</v>
      </c>
      <c r="J203">
        <f>'Sardina comun'!H35</f>
        <v>4546.4809999999998</v>
      </c>
      <c r="K203">
        <f>'Sardina comun'!I35</f>
        <v>555.0809999999999</v>
      </c>
      <c r="L203">
        <f>'Sardina comun'!K35</f>
        <v>3991.3999999999996</v>
      </c>
      <c r="M203" s="36">
        <f>'Sardina comun'!L35</f>
        <v>0.12209024957983987</v>
      </c>
      <c r="N203" s="101" t="str">
        <f>'IC Anch y SardC VIII'!O18</f>
        <v>-</v>
      </c>
      <c r="O203" s="28">
        <f>RESUMEN!$B$3</f>
        <v>45483</v>
      </c>
      <c r="P203">
        <v>2024</v>
      </c>
    </row>
    <row r="204" spans="1:16">
      <c r="A204" t="s">
        <v>147</v>
      </c>
      <c r="B204" t="s">
        <v>240</v>
      </c>
      <c r="C204" t="s">
        <v>237</v>
      </c>
      <c r="D204" t="s">
        <v>232</v>
      </c>
      <c r="E204" t="str">
        <f>'Sardina comun'!D36</f>
        <v>Asociación Gremial de Armadores, Pescadores Artesanales y Actividades Afines de Lota, Octava región, Registro de Asociaciones Gremiales 577-8</v>
      </c>
      <c r="F204" s="28">
        <v>45292</v>
      </c>
      <c r="G204" s="28">
        <v>45657</v>
      </c>
      <c r="H204">
        <f>'Sardina comun'!F36</f>
        <v>2374.3000000000002</v>
      </c>
      <c r="I204">
        <f>'Sardina comun'!G36</f>
        <v>1012</v>
      </c>
      <c r="J204">
        <f>'Sardina comun'!H36</f>
        <v>3386.3</v>
      </c>
      <c r="K204">
        <f>'Sardina comun'!I36</f>
        <v>334.226</v>
      </c>
      <c r="L204">
        <f>'Sardina comun'!K36</f>
        <v>3052.0740000000001</v>
      </c>
      <c r="M204" s="36">
        <f>'Sardina comun'!L36</f>
        <v>9.8699465493311281E-2</v>
      </c>
      <c r="N204" s="101" t="str">
        <f>'IC Anch y SardC VIII'!O19</f>
        <v>-</v>
      </c>
      <c r="O204" s="28">
        <f>RESUMEN!$B$3</f>
        <v>45483</v>
      </c>
      <c r="P204">
        <v>2024</v>
      </c>
    </row>
    <row r="205" spans="1:16">
      <c r="A205" t="s">
        <v>147</v>
      </c>
      <c r="B205" t="s">
        <v>240</v>
      </c>
      <c r="C205" t="s">
        <v>237</v>
      </c>
      <c r="D205" t="s">
        <v>232</v>
      </c>
      <c r="E205" t="str">
        <f>'Sardina comun'!D37</f>
        <v>Asociación Gremial de Armadores, Pescadores Artesanales y Actividades Afines, CHALLWAFE A.G. Registro de Asociaciones Gremiales RAG N° 674-8</v>
      </c>
      <c r="F205" s="28">
        <v>45292</v>
      </c>
      <c r="G205" s="28">
        <v>45657</v>
      </c>
      <c r="H205">
        <f>'Sardina comun'!F37</f>
        <v>2216.1579999999999</v>
      </c>
      <c r="I205">
        <f>'Sardina comun'!G37</f>
        <v>37.400000000000006</v>
      </c>
      <c r="J205">
        <f>'Sardina comun'!H37</f>
        <v>2253.558</v>
      </c>
      <c r="K205">
        <f>'Sardina comun'!I37</f>
        <v>845.55000000000007</v>
      </c>
      <c r="L205">
        <f>'Sardina comun'!K37</f>
        <v>1408.0079999999998</v>
      </c>
      <c r="M205" s="36">
        <f>'Sardina comun'!L37</f>
        <v>0.37520667318081014</v>
      </c>
      <c r="N205" s="101" t="str">
        <f>'IC Anch y SardC VIII'!O20</f>
        <v>-</v>
      </c>
      <c r="O205" s="28">
        <f>RESUMEN!$B$3</f>
        <v>45483</v>
      </c>
      <c r="P205">
        <v>2024</v>
      </c>
    </row>
    <row r="206" spans="1:16">
      <c r="A206" t="s">
        <v>147</v>
      </c>
      <c r="B206" t="s">
        <v>240</v>
      </c>
      <c r="C206" t="s">
        <v>237</v>
      </c>
      <c r="D206" t="s">
        <v>232</v>
      </c>
      <c r="E206" t="str">
        <f>'Sardina comun'!D38</f>
        <v>Asociación Gremial de Armadores, Pescadores Artesanales y Actividades Afines, de las Caletas de Coronel y Lota de la Región del Biobío PESCA SUR A.G. Registro de Asociaciones Gremiales RAG N° 680-8</v>
      </c>
      <c r="F206" s="28">
        <v>45292</v>
      </c>
      <c r="G206" s="28">
        <v>45657</v>
      </c>
      <c r="H206">
        <f>'Sardina comun'!F38</f>
        <v>260.161</v>
      </c>
      <c r="I206">
        <f>'Sardina comun'!G38</f>
        <v>2559.4</v>
      </c>
      <c r="J206">
        <f>'Sardina comun'!H38</f>
        <v>2819.5610000000001</v>
      </c>
      <c r="K206">
        <f>'Sardina comun'!I38</f>
        <v>1023.668</v>
      </c>
      <c r="L206">
        <f>'Sardina comun'!K38</f>
        <v>1795.893</v>
      </c>
      <c r="M206" s="36">
        <f>'Sardina comun'!L38</f>
        <v>0.3630593556940247</v>
      </c>
      <c r="N206" s="101" t="str">
        <f>'IC Anch y SardC VIII'!O21</f>
        <v>-</v>
      </c>
      <c r="O206" s="28">
        <f>RESUMEN!$B$3</f>
        <v>45483</v>
      </c>
      <c r="P206">
        <v>2024</v>
      </c>
    </row>
    <row r="207" spans="1:16">
      <c r="A207" t="s">
        <v>147</v>
      </c>
      <c r="B207" t="s">
        <v>240</v>
      </c>
      <c r="C207" t="s">
        <v>237</v>
      </c>
      <c r="D207" t="s">
        <v>232</v>
      </c>
      <c r="E207" t="str">
        <f>'Sardina comun'!D39</f>
        <v>Asociacion Gremial de Armadores, Pescadores artesanales, Buzos mariscadores, Recolectores de orilla y Ramos afines "A.G. ESCAFANDRAS CON HISTORIA DE TALCAHUANO" Registro Asociaciones Gremiales 62-8</v>
      </c>
      <c r="F207" s="28">
        <v>45292</v>
      </c>
      <c r="G207" s="28">
        <v>45657</v>
      </c>
      <c r="H207">
        <f>'Sardina comun'!F39</f>
        <v>805.77599999999995</v>
      </c>
      <c r="I207">
        <f>'Sardina comun'!G39</f>
        <v>-200</v>
      </c>
      <c r="J207">
        <f>'Sardina comun'!H39</f>
        <v>605.77599999999995</v>
      </c>
      <c r="K207">
        <f>'Sardina comun'!I39</f>
        <v>183.88200000000001</v>
      </c>
      <c r="L207">
        <f>'Sardina comun'!K39</f>
        <v>421.89399999999995</v>
      </c>
      <c r="M207" s="36">
        <f>'Sardina comun'!L39</f>
        <v>0.30354784606851382</v>
      </c>
      <c r="N207" s="101" t="str">
        <f>'IC Anch y SardC VIII'!O22</f>
        <v>-</v>
      </c>
      <c r="O207" s="28">
        <f>RESUMEN!$B$3</f>
        <v>45483</v>
      </c>
      <c r="P207">
        <v>2024</v>
      </c>
    </row>
    <row r="208" spans="1:16">
      <c r="A208" t="s">
        <v>147</v>
      </c>
      <c r="B208" t="s">
        <v>240</v>
      </c>
      <c r="C208" t="s">
        <v>237</v>
      </c>
      <c r="D208" t="s">
        <v>232</v>
      </c>
      <c r="E208" t="str">
        <f>'Sardina comun'!D40</f>
        <v>Asociación Gremial de Pescadores Artesanales BLUE A.G. – BLUE A.G. Registro de Asociaciones Gremiales RAG N° 661-8</v>
      </c>
      <c r="F208" s="28">
        <v>45292</v>
      </c>
      <c r="G208" s="28">
        <v>45657</v>
      </c>
      <c r="H208">
        <f>'Sardina comun'!F40</f>
        <v>3043.4189999999999</v>
      </c>
      <c r="I208">
        <f>'Sardina comun'!G40</f>
        <v>-1503</v>
      </c>
      <c r="J208">
        <f>'Sardina comun'!H40</f>
        <v>1540.4189999999999</v>
      </c>
      <c r="K208">
        <f>'Sardina comun'!I40</f>
        <v>628.99900000000002</v>
      </c>
      <c r="L208">
        <f>'Sardina comun'!K40</f>
        <v>911.41999999999985</v>
      </c>
      <c r="M208" s="36">
        <f>'Sardina comun'!L40</f>
        <v>0.4083298115642563</v>
      </c>
      <c r="N208" s="101" t="str">
        <f>'IC Anch y SardC VIII'!O23</f>
        <v>-</v>
      </c>
      <c r="O208" s="28">
        <f>RESUMEN!$B$3</f>
        <v>45483</v>
      </c>
      <c r="P208">
        <v>2024</v>
      </c>
    </row>
    <row r="209" spans="1:16">
      <c r="A209" t="s">
        <v>147</v>
      </c>
      <c r="B209" t="s">
        <v>240</v>
      </c>
      <c r="C209" t="s">
        <v>237</v>
      </c>
      <c r="D209" t="s">
        <v>232</v>
      </c>
      <c r="E209" t="str">
        <f>'Sardina comun'!D41</f>
        <v>Asociación Gremial de Pescadores Artesanales de caleta INFIERNILLO, Registro de Asociaciones Gremiales 98-8</v>
      </c>
      <c r="F209" s="28">
        <v>45292</v>
      </c>
      <c r="G209" s="28">
        <v>45657</v>
      </c>
      <c r="H209">
        <f>'Sardina comun'!F41</f>
        <v>52.823</v>
      </c>
      <c r="I209">
        <f>'Sardina comun'!G41</f>
        <v>0</v>
      </c>
      <c r="J209">
        <f>'Sardina comun'!H41</f>
        <v>52.823</v>
      </c>
      <c r="K209">
        <f>'Sardina comun'!I41</f>
        <v>62.606999999999999</v>
      </c>
      <c r="L209">
        <f>'Sardina comun'!K41</f>
        <v>-9.7839999999999989</v>
      </c>
      <c r="M209" s="36">
        <f>'Sardina comun'!L41</f>
        <v>1.1852223463264109</v>
      </c>
      <c r="N209" s="101" t="str">
        <f>'IC Anch y SardC VIII'!O24</f>
        <v>-</v>
      </c>
      <c r="O209" s="28">
        <f>RESUMEN!$B$3</f>
        <v>45483</v>
      </c>
      <c r="P209">
        <v>2024</v>
      </c>
    </row>
    <row r="210" spans="1:16">
      <c r="A210" t="s">
        <v>147</v>
      </c>
      <c r="B210" t="s">
        <v>240</v>
      </c>
      <c r="C210" t="s">
        <v>237</v>
      </c>
      <c r="D210" t="s">
        <v>232</v>
      </c>
      <c r="E210" t="str">
        <f>'Sardina comun'!D42</f>
        <v>Asociación Gremial de Pescadores Artesanales de Coronel, Registro de Asociaciones Gremiales 5-8</v>
      </c>
      <c r="F210" s="28">
        <v>45292</v>
      </c>
      <c r="G210" s="28">
        <v>45657</v>
      </c>
      <c r="H210">
        <f>'Sardina comun'!F42</f>
        <v>17449.881000000001</v>
      </c>
      <c r="I210">
        <f>'Sardina comun'!G42</f>
        <v>5046.0999999999995</v>
      </c>
      <c r="J210">
        <f>'Sardina comun'!H42</f>
        <v>22495.981</v>
      </c>
      <c r="K210">
        <f>'Sardina comun'!I42</f>
        <v>9391.1929999999993</v>
      </c>
      <c r="L210">
        <f>'Sardina comun'!K42</f>
        <v>13104.788</v>
      </c>
      <c r="M210" s="36">
        <f>'Sardina comun'!L42</f>
        <v>0.41746092335337587</v>
      </c>
      <c r="N210" s="101" t="str">
        <f>'IC Anch y SardC VIII'!O25</f>
        <v>-</v>
      </c>
      <c r="O210" s="28">
        <f>RESUMEN!$B$3</f>
        <v>45483</v>
      </c>
      <c r="P210">
        <v>2024</v>
      </c>
    </row>
    <row r="211" spans="1:16">
      <c r="A211" t="s">
        <v>147</v>
      </c>
      <c r="B211" t="s">
        <v>240</v>
      </c>
      <c r="C211" t="s">
        <v>237</v>
      </c>
      <c r="D211" t="s">
        <v>232</v>
      </c>
      <c r="E211" t="str">
        <f>'Sardina comun'!D43</f>
        <v>Asociación Gremial de Pescadores Artesanales de Lota - A.G. APESCA Lota, Registro de Asociaciones Gremiales 428-8</v>
      </c>
      <c r="F211" s="28">
        <v>45292</v>
      </c>
      <c r="G211" s="28">
        <v>45657</v>
      </c>
      <c r="H211">
        <f>'Sardina comun'!F43</f>
        <v>202.041</v>
      </c>
      <c r="I211">
        <f>'Sardina comun'!G43</f>
        <v>0</v>
      </c>
      <c r="J211">
        <f>'Sardina comun'!H43</f>
        <v>202.041</v>
      </c>
      <c r="K211">
        <f>'Sardina comun'!I43</f>
        <v>164.334</v>
      </c>
      <c r="L211">
        <f>'Sardina comun'!K43</f>
        <v>37.706999999999994</v>
      </c>
      <c r="M211" s="36">
        <f>'Sardina comun'!L43</f>
        <v>0.81336956360342705</v>
      </c>
      <c r="N211" s="101" t="str">
        <f>'IC Anch y SardC VIII'!O26</f>
        <v>-</v>
      </c>
      <c r="O211" s="28">
        <f>RESUMEN!$B$3</f>
        <v>45483</v>
      </c>
      <c r="P211">
        <v>2024</v>
      </c>
    </row>
    <row r="212" spans="1:16">
      <c r="A212" t="s">
        <v>147</v>
      </c>
      <c r="B212" t="s">
        <v>240</v>
      </c>
      <c r="C212" t="s">
        <v>237</v>
      </c>
      <c r="D212" t="s">
        <v>232</v>
      </c>
      <c r="E212" t="str">
        <f>'Sardina comun'!D44</f>
        <v>Asociación Gremial de Pescadores Artesanales de San Vicente – Talcahuano, Registro de Asociaciones Gremiales 18-8</v>
      </c>
      <c r="F212" s="28">
        <v>45292</v>
      </c>
      <c r="G212" s="28">
        <v>45657</v>
      </c>
      <c r="H212">
        <f>'Sardina comun'!F44</f>
        <v>3774.098</v>
      </c>
      <c r="I212">
        <f>'Sardina comun'!G44</f>
        <v>-850</v>
      </c>
      <c r="J212">
        <f>'Sardina comun'!H44</f>
        <v>2924.098</v>
      </c>
      <c r="K212">
        <f>'Sardina comun'!I44</f>
        <v>882.68700000000013</v>
      </c>
      <c r="L212">
        <f>'Sardina comun'!K44</f>
        <v>2041.4109999999998</v>
      </c>
      <c r="M212" s="36">
        <f>'Sardina comun'!L44</f>
        <v>0.3018664217136362</v>
      </c>
      <c r="N212" s="101" t="str">
        <f>'IC Anch y SardC VIII'!O27</f>
        <v>-</v>
      </c>
      <c r="O212" s="28">
        <f>RESUMEN!$B$3</f>
        <v>45483</v>
      </c>
      <c r="P212">
        <v>2024</v>
      </c>
    </row>
    <row r="213" spans="1:16">
      <c r="A213" t="s">
        <v>147</v>
      </c>
      <c r="B213" t="s">
        <v>240</v>
      </c>
      <c r="C213" t="s">
        <v>237</v>
      </c>
      <c r="D213" t="s">
        <v>232</v>
      </c>
      <c r="E213" t="str">
        <f>'Sardina comun'!D45</f>
        <v>Asociación Gremial de Pescadores Artesanales, Armadores Artesanales Pelágicos y actividades Afines de la Caleta de LOTA VIII Región A.G.-SIERRA AZUL A.G., Registro de Asociaciones Gremiales 576-8</v>
      </c>
      <c r="F213" s="28">
        <v>45292</v>
      </c>
      <c r="G213" s="28">
        <v>45657</v>
      </c>
      <c r="H213">
        <f>'Sardina comun'!F45</f>
        <v>2125.6619999999998</v>
      </c>
      <c r="I213">
        <f>'Sardina comun'!G45</f>
        <v>0</v>
      </c>
      <c r="J213">
        <f>'Sardina comun'!H45</f>
        <v>2125.6619999999998</v>
      </c>
      <c r="K213">
        <f>'Sardina comun'!I45</f>
        <v>363.72199999999992</v>
      </c>
      <c r="L213">
        <f>'Sardina comun'!K45</f>
        <v>1761.9399999999998</v>
      </c>
      <c r="M213" s="36">
        <f>'Sardina comun'!L45</f>
        <v>0.1711099883236375</v>
      </c>
      <c r="N213" s="101" t="str">
        <f>'IC Anch y SardC VIII'!O28</f>
        <v>-</v>
      </c>
      <c r="O213" s="28">
        <f>RESUMEN!$B$3</f>
        <v>45483</v>
      </c>
      <c r="P213">
        <v>2024</v>
      </c>
    </row>
    <row r="214" spans="1:16">
      <c r="A214" t="s">
        <v>147</v>
      </c>
      <c r="B214" t="s">
        <v>240</v>
      </c>
      <c r="C214" t="s">
        <v>237</v>
      </c>
      <c r="D214" t="s">
        <v>232</v>
      </c>
      <c r="E214" t="str">
        <f>'Sardina comun'!D46</f>
        <v>Asociación Gremial de Pescadores y Armadores Artesanales Pelágicos de la Región del Bío Bío, "PESCA MAR A.G.", Registro de Asociaciones Gremiales 450-8</v>
      </c>
      <c r="F214" s="28">
        <v>45292</v>
      </c>
      <c r="G214" s="28">
        <v>45657</v>
      </c>
      <c r="H214">
        <f>'Sardina comun'!F46</f>
        <v>2016.953</v>
      </c>
      <c r="I214">
        <f>'Sardina comun'!G46</f>
        <v>0</v>
      </c>
      <c r="J214">
        <f>'Sardina comun'!H46</f>
        <v>2016.953</v>
      </c>
      <c r="K214">
        <f>'Sardina comun'!I46</f>
        <v>251.792</v>
      </c>
      <c r="L214">
        <f>'Sardina comun'!K46</f>
        <v>1765.1610000000001</v>
      </c>
      <c r="M214" s="36">
        <f>'Sardina comun'!L46</f>
        <v>0.12483781228417321</v>
      </c>
      <c r="N214" s="101" t="str">
        <f>'IC Anch y SardC VIII'!O29</f>
        <v>-</v>
      </c>
      <c r="O214" s="28">
        <f>RESUMEN!$B$3</f>
        <v>45483</v>
      </c>
      <c r="P214">
        <v>2024</v>
      </c>
    </row>
    <row r="215" spans="1:16">
      <c r="A215" t="s">
        <v>147</v>
      </c>
      <c r="B215" t="s">
        <v>240</v>
      </c>
      <c r="C215" t="s">
        <v>237</v>
      </c>
      <c r="D215" t="s">
        <v>232</v>
      </c>
      <c r="E215" t="str">
        <f>'Sardina comun'!D47</f>
        <v>Asociación Gremial de Pescadores y Armadores Artesanales Pelágicos Región Bío Bío A.G. ALTAMAR, Registro de Asociaciones Gremiales  555-8</v>
      </c>
      <c r="F215" s="28">
        <v>45292</v>
      </c>
      <c r="G215" s="28">
        <v>45657</v>
      </c>
      <c r="H215">
        <f>'Sardina comun'!F47</f>
        <v>4490.576</v>
      </c>
      <c r="I215">
        <f>'Sardina comun'!G47</f>
        <v>0</v>
      </c>
      <c r="J215">
        <f>'Sardina comun'!H47</f>
        <v>4490.576</v>
      </c>
      <c r="K215">
        <f>'Sardina comun'!I47</f>
        <v>757.58199999999988</v>
      </c>
      <c r="L215">
        <f>'Sardina comun'!K47</f>
        <v>3732.9940000000001</v>
      </c>
      <c r="M215" s="36">
        <f>'Sardina comun'!L47</f>
        <v>0.16870486102450996</v>
      </c>
      <c r="N215" s="101" t="str">
        <f>'IC Anch y SardC VIII'!O30</f>
        <v>-</v>
      </c>
      <c r="O215" s="28">
        <f>RESUMEN!$B$3</f>
        <v>45483</v>
      </c>
      <c r="P215">
        <v>2024</v>
      </c>
    </row>
    <row r="216" spans="1:16">
      <c r="A216" t="s">
        <v>147</v>
      </c>
      <c r="B216" t="s">
        <v>240</v>
      </c>
      <c r="C216" t="s">
        <v>237</v>
      </c>
      <c r="D216" t="s">
        <v>232</v>
      </c>
      <c r="E216" t="str">
        <f>'Sardina comun'!D48</f>
        <v>Asociación Gremial de Productores Pelágicos Artesanales de las Caletas de Talcahuano y San Vicente de la VIII Región GEMAR A.G., Registro de Asociaciones Gremiales 464-8</v>
      </c>
      <c r="F216" s="28">
        <v>45292</v>
      </c>
      <c r="G216" s="28">
        <v>45657</v>
      </c>
      <c r="H216">
        <f>'Sardina comun'!F48</f>
        <v>3199.8969999999999</v>
      </c>
      <c r="I216">
        <f>'Sardina comun'!G48</f>
        <v>0</v>
      </c>
      <c r="J216">
        <f>'Sardina comun'!H48</f>
        <v>3199.8969999999999</v>
      </c>
      <c r="K216">
        <f>'Sardina comun'!I48</f>
        <v>668.32500000000005</v>
      </c>
      <c r="L216">
        <f>'Sardina comun'!K48</f>
        <v>2531.5720000000001</v>
      </c>
      <c r="M216" s="36">
        <f>'Sardina comun'!L48</f>
        <v>0.20885828512605251</v>
      </c>
      <c r="N216" s="101" t="str">
        <f>'IC Anch y SardC VIII'!O31</f>
        <v>-</v>
      </c>
      <c r="O216" s="28">
        <f>RESUMEN!$B$3</f>
        <v>45483</v>
      </c>
      <c r="P216">
        <v>2024</v>
      </c>
    </row>
    <row r="217" spans="1:16">
      <c r="A217" t="s">
        <v>147</v>
      </c>
      <c r="B217" t="s">
        <v>240</v>
      </c>
      <c r="C217" t="s">
        <v>237</v>
      </c>
      <c r="D217" t="s">
        <v>232</v>
      </c>
      <c r="E217" t="str">
        <f>'Sardina comun'!D49</f>
        <v>Cooperativa de Pescadores y Armadores Artesanales de Lota "GEVIMAR". Registro de Cooperativa Rol 4465</v>
      </c>
      <c r="F217" s="28">
        <v>45292</v>
      </c>
      <c r="G217" s="28">
        <v>45657</v>
      </c>
      <c r="H217">
        <f>'Sardina comun'!F49</f>
        <v>2760.8760000000002</v>
      </c>
      <c r="I217">
        <f>'Sardina comun'!G49</f>
        <v>0</v>
      </c>
      <c r="J217">
        <f>'Sardina comun'!H49</f>
        <v>2760.8760000000002</v>
      </c>
      <c r="K217">
        <f>'Sardina comun'!I49</f>
        <v>486.91700000000003</v>
      </c>
      <c r="L217">
        <f>'Sardina comun'!K49</f>
        <v>2273.9590000000003</v>
      </c>
      <c r="M217" s="36">
        <f>'Sardina comun'!L49</f>
        <v>0.17636322674397545</v>
      </c>
      <c r="N217" s="101" t="str">
        <f>'IC Anch y SardC VIII'!O33</f>
        <v>-</v>
      </c>
      <c r="O217" s="28">
        <f>RESUMEN!$B$3</f>
        <v>45483</v>
      </c>
      <c r="P217">
        <v>2024</v>
      </c>
    </row>
    <row r="218" spans="1:16">
      <c r="A218" t="s">
        <v>147</v>
      </c>
      <c r="B218" t="s">
        <v>240</v>
      </c>
      <c r="C218" t="s">
        <v>237</v>
      </c>
      <c r="D218" t="s">
        <v>232</v>
      </c>
      <c r="E218" t="str">
        <f>'Sardina comun'!D50</f>
        <v>Corporación Nacional de Pescadores Artesanales Armadores Punta Puchoco, Chile. Per. Jur. N°351649, ROA N°97276</v>
      </c>
      <c r="F218" s="28">
        <v>45292</v>
      </c>
      <c r="G218" s="28">
        <v>45657</v>
      </c>
      <c r="H218">
        <f>'Sardina comun'!F50</f>
        <v>422.88</v>
      </c>
      <c r="I218">
        <f>'Sardina comun'!G50</f>
        <v>0</v>
      </c>
      <c r="J218">
        <f>'Sardina comun'!H50</f>
        <v>422.88</v>
      </c>
      <c r="K218">
        <f>'Sardina comun'!I50</f>
        <v>0</v>
      </c>
      <c r="L218">
        <f>'Sardina comun'!K50</f>
        <v>422.88</v>
      </c>
      <c r="M218" s="36">
        <f>'Sardina comun'!L50</f>
        <v>0</v>
      </c>
      <c r="N218" s="101" t="str">
        <f>'IC Anch y SardC VIII'!O34</f>
        <v>-</v>
      </c>
      <c r="O218" s="28">
        <f>RESUMEN!$B$3</f>
        <v>45483</v>
      </c>
      <c r="P218">
        <v>2024</v>
      </c>
    </row>
    <row r="219" spans="1:16">
      <c r="A219" t="s">
        <v>147</v>
      </c>
      <c r="B219" t="s">
        <v>240</v>
      </c>
      <c r="C219" t="s">
        <v>237</v>
      </c>
      <c r="D219" t="s">
        <v>232</v>
      </c>
      <c r="E219" t="str">
        <f>'Sardina comun'!D51</f>
        <v>Sindicato de  Pescadores Artesanales, Armadores Pelágicos y Actividades Conexas de la Caleta Vegas de Coliumo. Registro Sindical Único 08.06.0113</v>
      </c>
      <c r="F219" s="28">
        <v>45292</v>
      </c>
      <c r="G219" s="28">
        <v>45657</v>
      </c>
      <c r="H219">
        <f>'Sardina comun'!F51</f>
        <v>1935.2249999999999</v>
      </c>
      <c r="I219">
        <f>'Sardina comun'!G51</f>
        <v>0</v>
      </c>
      <c r="J219">
        <f>'Sardina comun'!H51</f>
        <v>1935.2249999999999</v>
      </c>
      <c r="K219">
        <f>'Sardina comun'!I51</f>
        <v>285.30200000000002</v>
      </c>
      <c r="L219">
        <f>'Sardina comun'!K51</f>
        <v>1649.9229999999998</v>
      </c>
      <c r="M219" s="36">
        <f>'Sardina comun'!L51</f>
        <v>0</v>
      </c>
      <c r="N219" s="101" t="str">
        <f>'IC Anch y SardC VIII'!O34</f>
        <v>-</v>
      </c>
      <c r="O219" s="28">
        <f>RESUMEN!$B$3</f>
        <v>45483</v>
      </c>
      <c r="P219">
        <v>2024</v>
      </c>
    </row>
    <row r="220" spans="1:16">
      <c r="A220" t="s">
        <v>147</v>
      </c>
      <c r="B220" t="s">
        <v>240</v>
      </c>
      <c r="C220" t="s">
        <v>237</v>
      </c>
      <c r="D220" t="s">
        <v>232</v>
      </c>
      <c r="E220" t="str">
        <f>'Sardina comun'!D52</f>
        <v>Sindicato de Armadores y Pescadores Mares Profundo. Registro Sindical Unico 08.04.0179</v>
      </c>
      <c r="F220" s="28">
        <v>45292</v>
      </c>
      <c r="G220" s="28">
        <v>45657</v>
      </c>
      <c r="H220">
        <f>'Sardina comun'!F52</f>
        <v>132.08500000000001</v>
      </c>
      <c r="I220">
        <f>'Sardina comun'!G52</f>
        <v>-130.15</v>
      </c>
      <c r="J220">
        <f>'Sardina comun'!H52</f>
        <v>1.9350000000000023</v>
      </c>
      <c r="K220">
        <f>'Sardina comun'!I52</f>
        <v>0</v>
      </c>
      <c r="L220">
        <f>'Sardina comun'!K52</f>
        <v>1.9350000000000023</v>
      </c>
      <c r="M220" s="36">
        <f>'Sardina comun'!L52</f>
        <v>0.98535034258242793</v>
      </c>
      <c r="N220" s="101" t="str">
        <f>'IC Anch y SardC VIII'!O35</f>
        <v>-</v>
      </c>
      <c r="O220" s="28">
        <f>RESUMEN!$B$3</f>
        <v>45483</v>
      </c>
      <c r="P220">
        <v>2024</v>
      </c>
    </row>
    <row r="221" spans="1:16">
      <c r="A221" t="s">
        <v>147</v>
      </c>
      <c r="B221" t="s">
        <v>240</v>
      </c>
      <c r="C221" t="s">
        <v>237</v>
      </c>
      <c r="D221" t="s">
        <v>232</v>
      </c>
      <c r="E221" t="str">
        <f>'Sardina comun'!D53</f>
        <v>Sindicato de Pescadores Artesanales y Armadores Artesanales de la Octava Región "SPAADA SD". Registro Sindical Único 08.05.0339</v>
      </c>
      <c r="F221" s="28">
        <v>45292</v>
      </c>
      <c r="G221" s="28">
        <v>45657</v>
      </c>
      <c r="H221">
        <f>'Sardina comun'!F53</f>
        <v>3220.5630000000001</v>
      </c>
      <c r="I221">
        <f>'Sardina comun'!G53</f>
        <v>-720</v>
      </c>
      <c r="J221">
        <f>'Sardina comun'!H53</f>
        <v>2500.5630000000001</v>
      </c>
      <c r="K221">
        <f>'Sardina comun'!I53</f>
        <v>203.96299999999997</v>
      </c>
      <c r="L221">
        <f>'Sardina comun'!K53</f>
        <v>2296.6000000000004</v>
      </c>
      <c r="M221" s="36">
        <f>'Sardina comun'!L53</f>
        <v>8.1566831149625083E-2</v>
      </c>
      <c r="N221" s="101" t="str">
        <f>'IC Anch y SardC VIII'!O36</f>
        <v>-</v>
      </c>
      <c r="O221" s="28">
        <f>RESUMEN!$B$3</f>
        <v>45483</v>
      </c>
      <c r="P221">
        <v>2024</v>
      </c>
    </row>
    <row r="222" spans="1:16">
      <c r="A222" t="s">
        <v>147</v>
      </c>
      <c r="B222" t="s">
        <v>240</v>
      </c>
      <c r="C222" t="s">
        <v>237</v>
      </c>
      <c r="D222" t="s">
        <v>232</v>
      </c>
      <c r="E222" t="str">
        <f>'Sardina comun'!D54</f>
        <v>Sindicato de Pescadores y Armadores Artesanales del Mar "SIPARMAR - Talcahuano". Registro Sindical Único 08.05.0399</v>
      </c>
      <c r="F222" s="28">
        <v>45292</v>
      </c>
      <c r="G222" s="28">
        <v>45657</v>
      </c>
      <c r="H222">
        <f>'Sardina comun'!F54</f>
        <v>3072.761</v>
      </c>
      <c r="I222">
        <f>'Sardina comun'!G54</f>
        <v>-435</v>
      </c>
      <c r="J222">
        <f>'Sardina comun'!H54</f>
        <v>2637.761</v>
      </c>
      <c r="K222">
        <f>'Sardina comun'!I54</f>
        <v>930.31200000000013</v>
      </c>
      <c r="L222">
        <f>'Sardina comun'!K54</f>
        <v>1707.4489999999998</v>
      </c>
      <c r="M222" s="36">
        <f>'Sardina comun'!L54</f>
        <v>0.35269002764086665</v>
      </c>
      <c r="N222" s="101" t="str">
        <f>'IC Anch y SardC VIII'!O37</f>
        <v>-</v>
      </c>
      <c r="O222" s="28">
        <f>RESUMEN!$B$3</f>
        <v>45483</v>
      </c>
      <c r="P222">
        <v>2024</v>
      </c>
    </row>
    <row r="223" spans="1:16">
      <c r="A223" t="s">
        <v>147</v>
      </c>
      <c r="B223" t="s">
        <v>240</v>
      </c>
      <c r="C223" t="s">
        <v>237</v>
      </c>
      <c r="D223" t="s">
        <v>232</v>
      </c>
      <c r="E223" t="str">
        <f>'Sardina comun'!D55</f>
        <v>Sindicato de Pescadores y Armadores Independientes de Embarcaciones Menores Artesanales de la Caleta Tumbes "SIPESAR" (RSU N° 08.05.0696)</v>
      </c>
      <c r="F223" s="28">
        <v>45292</v>
      </c>
      <c r="G223" s="28">
        <v>45657</v>
      </c>
      <c r="H223">
        <f>'Sardina comun'!F55</f>
        <v>455.2</v>
      </c>
      <c r="I223">
        <f>'Sardina comun'!G55</f>
        <v>0</v>
      </c>
      <c r="J223">
        <f>'Sardina comun'!H55</f>
        <v>455.2</v>
      </c>
      <c r="K223">
        <f>'Sardina comun'!I55</f>
        <v>551.68999999999994</v>
      </c>
      <c r="L223">
        <f>'Sardina comun'!K55</f>
        <v>-96.489999999999952</v>
      </c>
      <c r="M223" s="36">
        <f>'Sardina comun'!L55</f>
        <v>1.2119727592267133</v>
      </c>
      <c r="N223" s="101" t="str">
        <f>'IC Anch y SardC VIII'!O38</f>
        <v>-</v>
      </c>
      <c r="O223" s="28">
        <f>RESUMEN!$B$3</f>
        <v>45483</v>
      </c>
      <c r="P223">
        <v>2024</v>
      </c>
    </row>
    <row r="224" spans="1:16">
      <c r="A224" t="s">
        <v>147</v>
      </c>
      <c r="B224" t="s">
        <v>240</v>
      </c>
      <c r="C224" t="s">
        <v>237</v>
      </c>
      <c r="D224" t="s">
        <v>232</v>
      </c>
      <c r="E224" t="str">
        <f>'Sardina comun'!D56</f>
        <v>Sindicato de Trabajadores Independientes "Brisas del Mar". Registro Sindical Único 08.04.0115</v>
      </c>
      <c r="F224" s="28">
        <v>45292</v>
      </c>
      <c r="G224" s="28">
        <v>45657</v>
      </c>
      <c r="H224">
        <f>'Sardina comun'!F56</f>
        <v>1.6E-2</v>
      </c>
      <c r="I224">
        <f>'Sardina comun'!G56</f>
        <v>0</v>
      </c>
      <c r="J224">
        <f>'Sardina comun'!H56</f>
        <v>1.6E-2</v>
      </c>
      <c r="K224">
        <f>'Sardina comun'!I56</f>
        <v>0</v>
      </c>
      <c r="L224">
        <f>'Sardina comun'!K56</f>
        <v>1.6E-2</v>
      </c>
      <c r="M224" s="36">
        <f>'Sardina comun'!L56</f>
        <v>0</v>
      </c>
      <c r="N224" s="101" t="str">
        <f>'IC Anch y SardC VIII'!O39</f>
        <v>-</v>
      </c>
      <c r="O224" s="28">
        <f>RESUMEN!$B$3</f>
        <v>45483</v>
      </c>
      <c r="P224">
        <v>2024</v>
      </c>
    </row>
    <row r="225" spans="1:16">
      <c r="A225" t="s">
        <v>147</v>
      </c>
      <c r="B225" t="s">
        <v>240</v>
      </c>
      <c r="C225" t="s">
        <v>237</v>
      </c>
      <c r="D225" t="s">
        <v>232</v>
      </c>
      <c r="E225" t="str">
        <f>'Sardina comun'!D57</f>
        <v>Sindicato de Trabajadores Independientes Armadores  y Pescadores Artesanales, Buzos Mariscadores, Algueros acuicultores y Actividades conexas de la Región del Bio Bio (BIO BIO PESCA), Registro Sindical Único 08.05.0555</v>
      </c>
      <c r="F225" s="28">
        <v>45292</v>
      </c>
      <c r="G225" s="28">
        <v>45657</v>
      </c>
      <c r="H225">
        <f>'Sardina comun'!F57</f>
        <v>508.63499999999999</v>
      </c>
      <c r="I225">
        <f>'Sardina comun'!G57</f>
        <v>-394.6</v>
      </c>
      <c r="J225">
        <f>'Sardina comun'!H57</f>
        <v>114.03499999999997</v>
      </c>
      <c r="K225">
        <f>'Sardina comun'!I57</f>
        <v>123.87300000000002</v>
      </c>
      <c r="L225">
        <f>'Sardina comun'!K57</f>
        <v>-9.8380000000000507</v>
      </c>
      <c r="M225" s="36">
        <f>'Sardina comun'!L57</f>
        <v>1.0862717586705841</v>
      </c>
      <c r="N225" s="101" t="str">
        <f>'IC Anch y SardC VIII'!O40</f>
        <v>-</v>
      </c>
      <c r="O225" s="28">
        <f>RESUMEN!$B$3</f>
        <v>45483</v>
      </c>
      <c r="P225">
        <v>2024</v>
      </c>
    </row>
    <row r="226" spans="1:16">
      <c r="A226" t="s">
        <v>147</v>
      </c>
      <c r="B226" t="s">
        <v>240</v>
      </c>
      <c r="C226" t="s">
        <v>237</v>
      </c>
      <c r="D226" t="s">
        <v>232</v>
      </c>
      <c r="E226" t="str">
        <f>'Sardina comun'!D58</f>
        <v>Sindicato de Trabajadores Independientes Armadores Pescadores Artesanales, Algueros y Ramos Afines "MEDITERRANEO". Registro Sindical Único 08.05.0605</v>
      </c>
      <c r="F226" s="28">
        <v>45292</v>
      </c>
      <c r="G226" s="28">
        <v>45657</v>
      </c>
      <c r="H226">
        <f>'Sardina comun'!F58</f>
        <v>1613.489</v>
      </c>
      <c r="I226">
        <f>'Sardina comun'!G58</f>
        <v>-1060</v>
      </c>
      <c r="J226">
        <f>'Sardina comun'!H58</f>
        <v>553.48900000000003</v>
      </c>
      <c r="K226">
        <f>'Sardina comun'!I58</f>
        <v>202.20399999999998</v>
      </c>
      <c r="L226">
        <f>'Sardina comun'!K58</f>
        <v>351.28500000000008</v>
      </c>
      <c r="M226" s="36">
        <f>'Sardina comun'!L58</f>
        <v>0.3653261401762275</v>
      </c>
      <c r="N226" s="101" t="str">
        <f>'IC Anch y SardC VIII'!O41</f>
        <v>-</v>
      </c>
      <c r="O226" s="28">
        <f>RESUMEN!$B$3</f>
        <v>45483</v>
      </c>
      <c r="P226">
        <v>2024</v>
      </c>
    </row>
    <row r="227" spans="1:16">
      <c r="A227" t="s">
        <v>147</v>
      </c>
      <c r="B227" t="s">
        <v>240</v>
      </c>
      <c r="C227" t="s">
        <v>237</v>
      </c>
      <c r="D227" t="s">
        <v>232</v>
      </c>
      <c r="E227" t="str">
        <f>'Sardina comun'!D59</f>
        <v>Sindicato de Trabajadores Independientes Armadores Pescadores del Mar "SIARPEMAR". Registro Sindical Único 08.05.0459.</v>
      </c>
      <c r="F227" s="28">
        <v>45292</v>
      </c>
      <c r="G227" s="28">
        <v>45657</v>
      </c>
      <c r="H227">
        <f>'Sardina comun'!F59</f>
        <v>540.42100000000005</v>
      </c>
      <c r="I227">
        <f>'Sardina comun'!G59</f>
        <v>7.7680000000000291</v>
      </c>
      <c r="J227">
        <f>'Sardina comun'!H59</f>
        <v>548.18900000000008</v>
      </c>
      <c r="K227">
        <f>'Sardina comun'!I59</f>
        <v>29.21</v>
      </c>
      <c r="L227">
        <f>'Sardina comun'!K59</f>
        <v>518.97900000000004</v>
      </c>
      <c r="M227" s="36">
        <f>'Sardina comun'!L59</f>
        <v>5.3284542374983805E-2</v>
      </c>
      <c r="N227" s="101" t="str">
        <f>'IC Anch y SardC VIII'!O42</f>
        <v>-</v>
      </c>
      <c r="O227" s="28">
        <f>RESUMEN!$B$3</f>
        <v>45483</v>
      </c>
      <c r="P227">
        <v>2024</v>
      </c>
    </row>
    <row r="228" spans="1:16">
      <c r="A228" t="s">
        <v>147</v>
      </c>
      <c r="B228" t="s">
        <v>240</v>
      </c>
      <c r="C228" t="s">
        <v>237</v>
      </c>
      <c r="D228" t="s">
        <v>232</v>
      </c>
      <c r="E228" t="str">
        <f>'Sardina comun'!D60</f>
        <v xml:space="preserve"> Sindicato de Trabajadores Independientes Armadores y Pescadores Artesanales y Ramos Afines  Caleta La Gloria comuna de Talcahuano, Registro Sindical Único 08.05.0603</v>
      </c>
      <c r="F228" s="28">
        <v>45292</v>
      </c>
      <c r="G228" s="28">
        <v>45657</v>
      </c>
      <c r="H228">
        <f>'Sardina comun'!F60</f>
        <v>2771.9609999999998</v>
      </c>
      <c r="I228">
        <f>'Sardina comun'!G60</f>
        <v>390</v>
      </c>
      <c r="J228">
        <f>'Sardina comun'!H60</f>
        <v>3161.9609999999998</v>
      </c>
      <c r="K228">
        <f>'Sardina comun'!I60</f>
        <v>277.875</v>
      </c>
      <c r="L228">
        <f>'Sardina comun'!K60</f>
        <v>2884.0859999999998</v>
      </c>
      <c r="M228" s="36">
        <f>'Sardina comun'!L60</f>
        <v>8.7880590557568555E-2</v>
      </c>
      <c r="N228" s="101" t="str">
        <f>'IC Anch y SardC VIII'!O43</f>
        <v>-</v>
      </c>
      <c r="O228" s="28">
        <f>RESUMEN!$B$3</f>
        <v>45483</v>
      </c>
      <c r="P228">
        <v>2024</v>
      </c>
    </row>
    <row r="229" spans="1:16">
      <c r="A229" t="s">
        <v>147</v>
      </c>
      <c r="B229" t="s">
        <v>240</v>
      </c>
      <c r="C229" t="s">
        <v>237</v>
      </c>
      <c r="D229" t="s">
        <v>232</v>
      </c>
      <c r="E229" t="str">
        <f>'Sardina comun'!D61</f>
        <v>Sindicato de Trabajadores Independientes Armadores y Pescadores y Ramos Afines de la Pesca Artesanal de la Caleta Lo Rojas "SITRAL", Registro Sindical Único 08.07.0322</v>
      </c>
      <c r="F229" s="28">
        <v>45292</v>
      </c>
      <c r="G229" s="28">
        <v>45657</v>
      </c>
      <c r="H229">
        <f>'Sardina comun'!F61</f>
        <v>929.43100000000004</v>
      </c>
      <c r="I229">
        <f>'Sardina comun'!G61</f>
        <v>0</v>
      </c>
      <c r="J229">
        <f>'Sardina comun'!H61</f>
        <v>929.43100000000004</v>
      </c>
      <c r="K229">
        <f>'Sardina comun'!I61</f>
        <v>482.15899999999999</v>
      </c>
      <c r="L229">
        <f>'Sardina comun'!K61</f>
        <v>447.27200000000005</v>
      </c>
      <c r="M229" s="36">
        <f>'Sardina comun'!L61</f>
        <v>0.51876793435983948</v>
      </c>
      <c r="N229" s="101" t="str">
        <f>'IC Anch y SardC VIII'!O44</f>
        <v>-</v>
      </c>
      <c r="O229" s="28">
        <f>RESUMEN!$B$3</f>
        <v>45483</v>
      </c>
      <c r="P229">
        <v>2024</v>
      </c>
    </row>
    <row r="230" spans="1:16">
      <c r="A230" t="s">
        <v>147</v>
      </c>
      <c r="B230" t="s">
        <v>240</v>
      </c>
      <c r="C230" t="s">
        <v>237</v>
      </c>
      <c r="D230" t="s">
        <v>232</v>
      </c>
      <c r="E230" t="str">
        <f>'Sardina comun'!D62</f>
        <v>Sindicato de Trabajadores Independientes Armadores, Pescadores y Ramos Afines de la Pesca Artesanal de la Región del  Bio-Bio, "SARPAR BIO-BIO". Registro Sindical Único 08.05.0378</v>
      </c>
      <c r="F230" s="28">
        <v>45292</v>
      </c>
      <c r="G230" s="28">
        <v>45657</v>
      </c>
      <c r="H230">
        <f>'Sardina comun'!F62</f>
        <v>870.71699999999998</v>
      </c>
      <c r="I230">
        <f>'Sardina comun'!G62</f>
        <v>0</v>
      </c>
      <c r="J230">
        <f>'Sardina comun'!H62</f>
        <v>870.71699999999998</v>
      </c>
      <c r="K230">
        <f>'Sardina comun'!I62</f>
        <v>292.74800000000005</v>
      </c>
      <c r="L230">
        <f>'Sardina comun'!K62</f>
        <v>577.96899999999994</v>
      </c>
      <c r="M230" s="36">
        <f>'Sardina comun'!L62</f>
        <v>0.33621486659844707</v>
      </c>
      <c r="N230" s="101" t="str">
        <f>'IC Anch y SardC VIII'!O45</f>
        <v>-</v>
      </c>
      <c r="O230" s="28">
        <f>RESUMEN!$B$3</f>
        <v>45483</v>
      </c>
      <c r="P230">
        <v>2024</v>
      </c>
    </row>
    <row r="231" spans="1:16">
      <c r="A231" t="s">
        <v>147</v>
      </c>
      <c r="B231" t="s">
        <v>240</v>
      </c>
      <c r="C231" t="s">
        <v>237</v>
      </c>
      <c r="D231" t="s">
        <v>232</v>
      </c>
      <c r="E231" t="str">
        <f>'Sardina comun'!D63</f>
        <v>Sindicato de Trabajadores Independientes de armadores y pescadores Artesanales y Ramas afines, "MAR CANTABRICO" Registro Sindical Único 08.05.0718</v>
      </c>
      <c r="F231" s="28">
        <v>45292</v>
      </c>
      <c r="G231" s="28">
        <v>45657</v>
      </c>
      <c r="H231">
        <f>'Sardina comun'!F63</f>
        <v>902.58199999999999</v>
      </c>
      <c r="I231">
        <f>'Sardina comun'!G63</f>
        <v>-450</v>
      </c>
      <c r="J231">
        <f>'Sardina comun'!H63</f>
        <v>452.58199999999999</v>
      </c>
      <c r="K231">
        <f>'Sardina comun'!I63</f>
        <v>91.99199999999999</v>
      </c>
      <c r="L231">
        <f>'Sardina comun'!K63</f>
        <v>360.59000000000003</v>
      </c>
      <c r="M231" s="36">
        <f>'Sardina comun'!L63</f>
        <v>0.20326040363956144</v>
      </c>
      <c r="N231" s="101" t="str">
        <f>'IC Anch y SardC VIII'!O46</f>
        <v>-</v>
      </c>
      <c r="O231" s="28">
        <f>RESUMEN!$B$3</f>
        <v>45483</v>
      </c>
      <c r="P231">
        <v>2024</v>
      </c>
    </row>
    <row r="232" spans="1:16">
      <c r="A232" t="s">
        <v>147</v>
      </c>
      <c r="B232" t="s">
        <v>240</v>
      </c>
      <c r="C232" t="s">
        <v>237</v>
      </c>
      <c r="D232" t="s">
        <v>232</v>
      </c>
      <c r="E232" t="str">
        <f>'Sardina comun'!D64</f>
        <v>Sindicato de Trabajadores Independientes de Armadores y Pescadores Artesanales y Ramas afines, Registro Sindical Único 08.05.0512</v>
      </c>
      <c r="F232" s="28">
        <v>45292</v>
      </c>
      <c r="G232" s="28">
        <v>45657</v>
      </c>
      <c r="H232">
        <f>'Sardina comun'!F64</f>
        <v>900.38499999999999</v>
      </c>
      <c r="I232">
        <f>'Sardina comun'!G64</f>
        <v>-889.17899999999997</v>
      </c>
      <c r="J232">
        <f>'Sardina comun'!H64</f>
        <v>11.206000000000017</v>
      </c>
      <c r="K232">
        <f>'Sardina comun'!I64</f>
        <v>11.206</v>
      </c>
      <c r="L232">
        <f>'Sardina comun'!K64</f>
        <v>1.7763568394002505E-14</v>
      </c>
      <c r="M232" s="36">
        <f>'Sardina comun'!L64</f>
        <v>0.99999999999999845</v>
      </c>
      <c r="N232" s="101" t="str">
        <f>'IC Anch y SardC VIII'!O47</f>
        <v>-</v>
      </c>
      <c r="O232" s="28">
        <f>RESUMEN!$B$3</f>
        <v>45483</v>
      </c>
      <c r="P232">
        <v>2024</v>
      </c>
    </row>
    <row r="233" spans="1:16">
      <c r="A233" t="s">
        <v>147</v>
      </c>
      <c r="B233" t="s">
        <v>240</v>
      </c>
      <c r="C233" t="s">
        <v>237</v>
      </c>
      <c r="D233" t="s">
        <v>232</v>
      </c>
      <c r="E233" t="str">
        <f>'Sardina comun'!D65</f>
        <v>Sindicato de Trabajadores Independientes de la Pesca Artesanal de la Peninsula de Hualpen. Registro Sindical Único 08.05.0502</v>
      </c>
      <c r="F233" s="28">
        <v>45292</v>
      </c>
      <c r="G233" s="28">
        <v>45657</v>
      </c>
      <c r="H233">
        <f>'Sardina comun'!F65</f>
        <v>98.408000000000001</v>
      </c>
      <c r="I233">
        <f>'Sardina comun'!G65</f>
        <v>-98</v>
      </c>
      <c r="J233">
        <f>'Sardina comun'!H65</f>
        <v>0.40800000000000125</v>
      </c>
      <c r="K233">
        <f>'Sardina comun'!I65</f>
        <v>0</v>
      </c>
      <c r="L233">
        <f>'Sardina comun'!K65</f>
        <v>0.40800000000000125</v>
      </c>
      <c r="M233" s="36">
        <f>'Sardina comun'!L65</f>
        <v>0</v>
      </c>
      <c r="N233" s="101" t="str">
        <f>'IC Anch y SardC VIII'!O48</f>
        <v>-</v>
      </c>
      <c r="O233" s="28">
        <f>RESUMEN!$B$3</f>
        <v>45483</v>
      </c>
      <c r="P233">
        <v>2024</v>
      </c>
    </row>
    <row r="234" spans="1:16">
      <c r="A234" t="s">
        <v>147</v>
      </c>
      <c r="B234" t="s">
        <v>240</v>
      </c>
      <c r="C234" t="s">
        <v>237</v>
      </c>
      <c r="D234" t="s">
        <v>232</v>
      </c>
      <c r="E234" t="str">
        <f>'Sardina comun'!D66</f>
        <v>Sindicato de Trabajadores Independientes de la Pesca Artesanal, Armadores Artesanales Pelágicos Actividades Afines y Actividades Conexas de la Comuna de Talcahuano, "MAR AZUL".  Registro Sindical Único 08.05.0434</v>
      </c>
      <c r="F234" s="28">
        <v>45292</v>
      </c>
      <c r="G234" s="28">
        <v>45657</v>
      </c>
      <c r="H234">
        <f>'Sardina comun'!F66</f>
        <v>1255.7919999999999</v>
      </c>
      <c r="I234">
        <f>'Sardina comun'!G66</f>
        <v>-950</v>
      </c>
      <c r="J234">
        <f>'Sardina comun'!H66</f>
        <v>305.79199999999992</v>
      </c>
      <c r="K234">
        <f>'Sardina comun'!I66</f>
        <v>52.341000000000001</v>
      </c>
      <c r="L234">
        <f>'Sardina comun'!K66</f>
        <v>253.45099999999991</v>
      </c>
      <c r="M234" s="36">
        <f>'Sardina comun'!L66</f>
        <v>0.17116536730849732</v>
      </c>
      <c r="N234" s="101" t="str">
        <f>'IC Anch y SardC VIII'!O49</f>
        <v>-</v>
      </c>
      <c r="O234" s="28">
        <f>RESUMEN!$B$3</f>
        <v>45483</v>
      </c>
      <c r="P234">
        <v>2024</v>
      </c>
    </row>
    <row r="235" spans="1:16">
      <c r="A235" t="s">
        <v>147</v>
      </c>
      <c r="B235" t="s">
        <v>240</v>
      </c>
      <c r="C235" t="s">
        <v>237</v>
      </c>
      <c r="D235" t="s">
        <v>232</v>
      </c>
      <c r="E235" t="str">
        <f>'Sardina comun'!D67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35" s="28">
        <v>45292</v>
      </c>
      <c r="G235" s="28">
        <v>45657</v>
      </c>
      <c r="H235">
        <f>'Sardina comun'!F67</f>
        <v>2673.0880000000002</v>
      </c>
      <c r="I235">
        <f>'Sardina comun'!G67</f>
        <v>0</v>
      </c>
      <c r="J235">
        <f>'Sardina comun'!H67</f>
        <v>2673.0880000000002</v>
      </c>
      <c r="K235">
        <f>'Sardina comun'!I67</f>
        <v>309.62300000000005</v>
      </c>
      <c r="L235">
        <f>'Sardina comun'!K67</f>
        <v>2363.4650000000001</v>
      </c>
      <c r="M235" s="36">
        <f>'Sardina comun'!L67</f>
        <v>0</v>
      </c>
      <c r="N235" s="101" t="str">
        <f>'IC Anch y SardC VIII'!O50</f>
        <v>-</v>
      </c>
      <c r="O235" s="28">
        <f>RESUMEN!$B$3</f>
        <v>45483</v>
      </c>
      <c r="P235">
        <v>2024</v>
      </c>
    </row>
    <row r="236" spans="1:16">
      <c r="A236" t="s">
        <v>147</v>
      </c>
      <c r="B236" t="s">
        <v>240</v>
      </c>
      <c r="C236" t="s">
        <v>237</v>
      </c>
      <c r="D236" t="s">
        <v>232</v>
      </c>
      <c r="E236" t="str">
        <f>'Sardina comun'!D68</f>
        <v>Sindicato de Trabajadores Independientes de Pescadores Artesanales Caleta Lo Rojas "SITRAINPAR". Registro Sindical Único 08.07.0287.</v>
      </c>
      <c r="F236" s="28">
        <v>45292</v>
      </c>
      <c r="G236" s="28">
        <v>45657</v>
      </c>
      <c r="H236">
        <f>'Sardina comun'!F68</f>
        <v>2245.806</v>
      </c>
      <c r="I236">
        <f>'Sardina comun'!G68</f>
        <v>435</v>
      </c>
      <c r="J236">
        <f>'Sardina comun'!H68</f>
        <v>2680.806</v>
      </c>
      <c r="K236">
        <f>'Sardina comun'!I68</f>
        <v>910.07900000000006</v>
      </c>
      <c r="L236">
        <f>'Sardina comun'!K68</f>
        <v>1770.7269999999999</v>
      </c>
      <c r="M236" s="36">
        <f>'Sardina comun'!L68</f>
        <v>0.33947961918915431</v>
      </c>
      <c r="N236" s="101" t="str">
        <f>'IC Anch y SardC VIII'!O51</f>
        <v>-</v>
      </c>
      <c r="O236" s="28">
        <f>RESUMEN!$B$3</f>
        <v>45483</v>
      </c>
      <c r="P236">
        <v>2024</v>
      </c>
    </row>
    <row r="237" spans="1:16">
      <c r="A237" t="s">
        <v>147</v>
      </c>
      <c r="B237" t="s">
        <v>240</v>
      </c>
      <c r="C237" t="s">
        <v>237</v>
      </c>
      <c r="D237" t="s">
        <v>232</v>
      </c>
      <c r="E237" t="str">
        <f>'Sardina comun'!D69</f>
        <v>Sindicato de Trabajadores Independientes de Pescadores Artesanales Lo Rojas y Caletas Anexas del Golfo de Arauco. Registro Sindical Único 08.07.0307</v>
      </c>
      <c r="F237" s="28">
        <v>45292</v>
      </c>
      <c r="G237" s="28">
        <v>45657</v>
      </c>
      <c r="H237">
        <f>'Sardina comun'!F69</f>
        <v>3276.1219999999998</v>
      </c>
      <c r="I237">
        <f>'Sardina comun'!G69</f>
        <v>-2880</v>
      </c>
      <c r="J237">
        <f>'Sardina comun'!H69</f>
        <v>396.12199999999984</v>
      </c>
      <c r="K237">
        <f>'Sardina comun'!I69</f>
        <v>24.744</v>
      </c>
      <c r="L237">
        <f>'Sardina comun'!K69</f>
        <v>371.37799999999982</v>
      </c>
      <c r="M237" s="36">
        <f>'Sardina comun'!L69</f>
        <v>6.2465604031081361E-2</v>
      </c>
      <c r="N237" s="101" t="str">
        <f>'IC Anch y SardC VIII'!O52</f>
        <v>-</v>
      </c>
      <c r="O237" s="28">
        <f>RESUMEN!$B$3</f>
        <v>45483</v>
      </c>
      <c r="P237">
        <v>2024</v>
      </c>
    </row>
    <row r="238" spans="1:16">
      <c r="A238" t="s">
        <v>147</v>
      </c>
      <c r="B238" t="s">
        <v>240</v>
      </c>
      <c r="C238" t="s">
        <v>237</v>
      </c>
      <c r="D238" t="s">
        <v>232</v>
      </c>
      <c r="E238" t="str">
        <f>'Sardina comun'!D70</f>
        <v>Sindicato de Trabajadores Independientes de Pescadores Artesanales y Actividades Conexas Caleta de Pueblo Hundido, La Conchilla y El Morro - LOTA. Registro Sindical Único 08.07.0061</v>
      </c>
      <c r="F238" s="28">
        <v>45292</v>
      </c>
      <c r="G238" s="28">
        <v>45657</v>
      </c>
      <c r="H238">
        <f>'Sardina comun'!F70</f>
        <v>20.327999999999999</v>
      </c>
      <c r="I238">
        <f>'Sardina comun'!G70</f>
        <v>0</v>
      </c>
      <c r="J238">
        <f>'Sardina comun'!H70</f>
        <v>20.327999999999999</v>
      </c>
      <c r="K238">
        <f>'Sardina comun'!I70</f>
        <v>0</v>
      </c>
      <c r="L238">
        <f>'Sardina comun'!K70</f>
        <v>20.327999999999999</v>
      </c>
      <c r="M238" s="36">
        <f>'Sardina comun'!L70</f>
        <v>0</v>
      </c>
      <c r="N238" s="101" t="str">
        <f>'IC Anch y SardC VIII'!O53</f>
        <v>-</v>
      </c>
      <c r="O238" s="28">
        <f>RESUMEN!$B$3</f>
        <v>45483</v>
      </c>
      <c r="P238">
        <v>2024</v>
      </c>
    </row>
    <row r="239" spans="1:16">
      <c r="A239" t="s">
        <v>147</v>
      </c>
      <c r="B239" t="s">
        <v>240</v>
      </c>
      <c r="C239" t="s">
        <v>237</v>
      </c>
      <c r="D239" t="s">
        <v>232</v>
      </c>
      <c r="E239" t="str">
        <f>'Sardina comun'!D71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39" s="28">
        <v>45292</v>
      </c>
      <c r="G239" s="28">
        <v>45657</v>
      </c>
      <c r="H239">
        <f>'Sardina comun'!F71</f>
        <v>4459.8469999999998</v>
      </c>
      <c r="I239">
        <f>'Sardina comun'!G71</f>
        <v>-385</v>
      </c>
      <c r="J239">
        <f>'Sardina comun'!H71</f>
        <v>4074.8469999999998</v>
      </c>
      <c r="K239">
        <f>'Sardina comun'!I71</f>
        <v>881.49600000000009</v>
      </c>
      <c r="L239">
        <f>'Sardina comun'!K71</f>
        <v>3193.3509999999997</v>
      </c>
      <c r="M239" s="36">
        <f>'Sardina comun'!L71</f>
        <v>0.21632615899443591</v>
      </c>
      <c r="N239" s="101" t="str">
        <f>'IC Anch y SardC VIII'!O54</f>
        <v>-</v>
      </c>
      <c r="O239" s="28">
        <f>RESUMEN!$B$3</f>
        <v>45483</v>
      </c>
      <c r="P239">
        <v>2024</v>
      </c>
    </row>
    <row r="240" spans="1:16">
      <c r="A240" t="s">
        <v>147</v>
      </c>
      <c r="B240" t="s">
        <v>240</v>
      </c>
      <c r="C240" t="s">
        <v>237</v>
      </c>
      <c r="D240" t="s">
        <v>232</v>
      </c>
      <c r="E240" t="str">
        <f>'Sardina comun'!D72</f>
        <v>Sindicato de Trabajadores Independientes de Pescadores Artesanales, Armadores Artesanales, Buzos mariscadores, Recolectores de orilla "Por un Futuro Mejor". Registro Sindical Único 08.16.0212</v>
      </c>
      <c r="F240" s="28">
        <v>45292</v>
      </c>
      <c r="G240" s="28">
        <v>45657</v>
      </c>
      <c r="H240">
        <f>'Sardina comun'!F72</f>
        <v>115.443</v>
      </c>
      <c r="I240">
        <f>'Sardina comun'!G72</f>
        <v>-11</v>
      </c>
      <c r="J240">
        <f>'Sardina comun'!H72</f>
        <v>104.443</v>
      </c>
      <c r="K240">
        <f>'Sardina comun'!I72</f>
        <v>0</v>
      </c>
      <c r="L240">
        <f>'Sardina comun'!K72</f>
        <v>104.443</v>
      </c>
      <c r="M240" s="36">
        <f>'Sardina comun'!L72</f>
        <v>0</v>
      </c>
      <c r="N240" s="101" t="str">
        <f>'IC Anch y SardC VIII'!O55</f>
        <v>-</v>
      </c>
      <c r="O240" s="28">
        <f>RESUMEN!$B$3</f>
        <v>45483</v>
      </c>
      <c r="P240">
        <v>2024</v>
      </c>
    </row>
    <row r="241" spans="1:16">
      <c r="A241" t="s">
        <v>147</v>
      </c>
      <c r="B241" t="s">
        <v>240</v>
      </c>
      <c r="C241" t="s">
        <v>237</v>
      </c>
      <c r="D241" t="s">
        <v>232</v>
      </c>
      <c r="E241" t="str">
        <f>'Sardina comun'!D73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241" s="28">
        <v>45292</v>
      </c>
      <c r="G241" s="28">
        <v>45657</v>
      </c>
      <c r="H241">
        <f>'Sardina comun'!F73</f>
        <v>350.62599999999998</v>
      </c>
      <c r="I241">
        <f>'Sardina comun'!G73</f>
        <v>350</v>
      </c>
      <c r="J241">
        <f>'Sardina comun'!H73</f>
        <v>700.62599999999998</v>
      </c>
      <c r="K241">
        <f>'Sardina comun'!I73</f>
        <v>404.11699999999996</v>
      </c>
      <c r="L241">
        <f>'Sardina comun'!K73</f>
        <v>296.50900000000001</v>
      </c>
      <c r="M241" s="36">
        <f>'Sardina comun'!L73</f>
        <v>0.57679418120366643</v>
      </c>
      <c r="N241" s="101" t="str">
        <f>'IC Anch y SardC VIII'!O56</f>
        <v>-</v>
      </c>
      <c r="O241" s="28">
        <f>RESUMEN!$B$3</f>
        <v>45483</v>
      </c>
      <c r="P241">
        <v>2024</v>
      </c>
    </row>
    <row r="242" spans="1:16">
      <c r="A242" t="s">
        <v>147</v>
      </c>
      <c r="B242" t="s">
        <v>240</v>
      </c>
      <c r="C242" t="s">
        <v>237</v>
      </c>
      <c r="D242" t="s">
        <v>232</v>
      </c>
      <c r="E242" t="str">
        <f>'Sardina comun'!D74</f>
        <v>Sindicato de Trabajadores Independientes de tripulantes y ramos afines de la pesca artesanal (CORONEL). Registro Sindical Único 08.07.0398</v>
      </c>
      <c r="F242" s="28">
        <v>45292</v>
      </c>
      <c r="G242" s="28">
        <v>45657</v>
      </c>
      <c r="H242">
        <f>'Sardina comun'!F74</f>
        <v>39.656999999999996</v>
      </c>
      <c r="I242">
        <f>'Sardina comun'!G74</f>
        <v>-39.6</v>
      </c>
      <c r="J242">
        <f>'Sardina comun'!H74</f>
        <v>5.6999999999995055E-2</v>
      </c>
      <c r="K242">
        <f>'Sardina comun'!I74</f>
        <v>0</v>
      </c>
      <c r="L242">
        <f>'Sardina comun'!K74</f>
        <v>5.6999999999995055E-2</v>
      </c>
      <c r="M242" s="36">
        <f>'Sardina comun'!L74</f>
        <v>0</v>
      </c>
      <c r="N242" s="101" t="str">
        <f>'IC Anch y SardC VIII'!O57</f>
        <v>-</v>
      </c>
      <c r="O242" s="28">
        <f>RESUMEN!$B$3</f>
        <v>45483</v>
      </c>
      <c r="P242">
        <v>2024</v>
      </c>
    </row>
    <row r="243" spans="1:16">
      <c r="A243" t="s">
        <v>147</v>
      </c>
      <c r="B243" t="s">
        <v>240</v>
      </c>
      <c r="C243" t="s">
        <v>237</v>
      </c>
      <c r="D243" t="s">
        <v>232</v>
      </c>
      <c r="E243" t="str">
        <f>'Sardina comun'!D75</f>
        <v>Sindicato de Trabajadores Independientes Pescadores Armadores y Ramos Afines de la Pesca Artesanal, APAT, Registro Sindical Único 08.05.0380</v>
      </c>
      <c r="F243" s="28">
        <v>45292</v>
      </c>
      <c r="G243" s="28">
        <v>45657</v>
      </c>
      <c r="H243">
        <f>'Sardina comun'!F75</f>
        <v>1605.6320000000001</v>
      </c>
      <c r="I243">
        <f>'Sardina comun'!G75</f>
        <v>-90</v>
      </c>
      <c r="J243">
        <f>'Sardina comun'!H75</f>
        <v>1515.6320000000001</v>
      </c>
      <c r="K243">
        <f>'Sardina comun'!I75</f>
        <v>488.80899999999997</v>
      </c>
      <c r="L243">
        <f>'Sardina comun'!K75</f>
        <v>1026.8230000000001</v>
      </c>
      <c r="M243" s="36">
        <f>'Sardina comun'!L75</f>
        <v>0.32251166510076323</v>
      </c>
      <c r="N243" s="101" t="str">
        <f>'IC Anch y SardC VIII'!O58</f>
        <v>-</v>
      </c>
      <c r="O243" s="28">
        <f>RESUMEN!$B$3</f>
        <v>45483</v>
      </c>
      <c r="P243">
        <v>2024</v>
      </c>
    </row>
    <row r="244" spans="1:16">
      <c r="A244" t="s">
        <v>147</v>
      </c>
      <c r="B244" t="s">
        <v>240</v>
      </c>
      <c r="C244" t="s">
        <v>237</v>
      </c>
      <c r="D244" t="s">
        <v>232</v>
      </c>
      <c r="E244" t="str">
        <f>'Sardina comun'!D76</f>
        <v>Sindicato de Trabajadores Independientes Pescadores Artesanales de Caleta Tumbes - Talcahuano, Registro Sindical Único 08.05.0057</v>
      </c>
      <c r="F244" s="28">
        <v>45292</v>
      </c>
      <c r="G244" s="28">
        <v>45657</v>
      </c>
      <c r="H244">
        <f>'Sardina comun'!F76</f>
        <v>5641.4390000000003</v>
      </c>
      <c r="I244">
        <f>'Sardina comun'!G76</f>
        <v>-627</v>
      </c>
      <c r="J244">
        <f>'Sardina comun'!H76</f>
        <v>5014.4390000000003</v>
      </c>
      <c r="K244">
        <f>'Sardina comun'!I76</f>
        <v>1116.8520000000001</v>
      </c>
      <c r="L244">
        <f>'Sardina comun'!K76</f>
        <v>3897.5870000000004</v>
      </c>
      <c r="M244" s="36">
        <f>'Sardina comun'!L76</f>
        <v>0.22272720836767582</v>
      </c>
      <c r="N244" s="101" t="str">
        <f>'IC Anch y SardC VIII'!O59</f>
        <v>-</v>
      </c>
      <c r="O244" s="28">
        <f>RESUMEN!$B$3</f>
        <v>45483</v>
      </c>
      <c r="P244">
        <v>2024</v>
      </c>
    </row>
    <row r="245" spans="1:16">
      <c r="A245" t="s">
        <v>147</v>
      </c>
      <c r="B245" t="s">
        <v>240</v>
      </c>
      <c r="C245" t="s">
        <v>237</v>
      </c>
      <c r="D245" t="s">
        <v>232</v>
      </c>
      <c r="E245" t="str">
        <f>'Sardina comun'!D77</f>
        <v>Sindicato de Trabajadores Independientes Pescadores Artesanales Históricos de Talcahuano, "SPARHITAL". Registro Sindical Único 08.05.0382</v>
      </c>
      <c r="F245" s="28">
        <v>45292</v>
      </c>
      <c r="G245" s="28">
        <v>45657</v>
      </c>
      <c r="H245">
        <f>'Sardina comun'!F77</f>
        <v>1650.2339999999999</v>
      </c>
      <c r="I245">
        <f>'Sardina comun'!G77</f>
        <v>-1539</v>
      </c>
      <c r="J245">
        <f>'Sardina comun'!H77</f>
        <v>111.23399999999992</v>
      </c>
      <c r="K245">
        <f>'Sardina comun'!I77</f>
        <v>56.957000000000001</v>
      </c>
      <c r="L245">
        <f>'Sardina comun'!K77</f>
        <v>54.276999999999923</v>
      </c>
      <c r="M245" s="36">
        <f>'Sardina comun'!L77</f>
        <v>0.5120466763759286</v>
      </c>
      <c r="N245" s="101" t="str">
        <f>'IC Anch y SardC VIII'!O60</f>
        <v>-</v>
      </c>
      <c r="O245" s="28">
        <f>RESUMEN!$B$3</f>
        <v>45483</v>
      </c>
      <c r="P245">
        <v>2024</v>
      </c>
    </row>
    <row r="246" spans="1:16">
      <c r="A246" t="s">
        <v>147</v>
      </c>
      <c r="B246" t="s">
        <v>240</v>
      </c>
      <c r="C246" t="s">
        <v>237</v>
      </c>
      <c r="D246" t="s">
        <v>232</v>
      </c>
      <c r="E246" t="str">
        <f>'Sardina comun'!D78</f>
        <v>Sindicato de Trabajadores Independientes Pescadores Artesanales Península de Tumbes, Registro Sindical Único 08.05.0391</v>
      </c>
      <c r="F246" s="28">
        <v>45292</v>
      </c>
      <c r="G246" s="28">
        <v>45657</v>
      </c>
      <c r="H246">
        <f>'Sardina comun'!F78</f>
        <v>2700.1379999999999</v>
      </c>
      <c r="I246">
        <f>'Sardina comun'!G78</f>
        <v>0</v>
      </c>
      <c r="J246">
        <f>'Sardina comun'!H78</f>
        <v>2700.1379999999999</v>
      </c>
      <c r="K246">
        <f>'Sardina comun'!I78</f>
        <v>604.61</v>
      </c>
      <c r="L246">
        <f>'Sardina comun'!K78</f>
        <v>2095.5279999999998</v>
      </c>
      <c r="M246" s="36">
        <f>'Sardina comun'!L78</f>
        <v>0.22391818492240029</v>
      </c>
      <c r="N246" s="101" t="str">
        <f>'IC Anch y SardC VIII'!O61</f>
        <v>-</v>
      </c>
      <c r="O246" s="28">
        <f>RESUMEN!$B$3</f>
        <v>45483</v>
      </c>
      <c r="P246">
        <v>2024</v>
      </c>
    </row>
    <row r="247" spans="1:16">
      <c r="A247" t="s">
        <v>147</v>
      </c>
      <c r="B247" t="s">
        <v>240</v>
      </c>
      <c r="C247" t="s">
        <v>237</v>
      </c>
      <c r="D247" t="s">
        <v>232</v>
      </c>
      <c r="E247" t="str">
        <f>'Sardina comun'!D79</f>
        <v>Sindicato de Trabajadores Independientes Pescadores Artesanales, Armadores y Actividades Conexas de la Caleta Coliumo, Registro Sindical Único 08.06.0150</v>
      </c>
      <c r="F247" s="28">
        <v>45292</v>
      </c>
      <c r="G247" s="28">
        <v>45657</v>
      </c>
      <c r="H247">
        <f>'Sardina comun'!F79</f>
        <v>6163.6490000000003</v>
      </c>
      <c r="I247">
        <f>'Sardina comun'!G79</f>
        <v>1257</v>
      </c>
      <c r="J247">
        <f>'Sardina comun'!H79</f>
        <v>7420.6490000000003</v>
      </c>
      <c r="K247">
        <f>'Sardina comun'!I79</f>
        <v>3005.5630000000001</v>
      </c>
      <c r="L247">
        <f>'Sardina comun'!K79</f>
        <v>4415.0860000000002</v>
      </c>
      <c r="M247" s="36">
        <f>'Sardina comun'!L79</f>
        <v>-0.20393763499511408</v>
      </c>
      <c r="N247" s="101" t="str">
        <f>'IC Anch y SardC VIII'!O62</f>
        <v>-</v>
      </c>
      <c r="O247" s="28">
        <f>RESUMEN!$B$3</f>
        <v>45483</v>
      </c>
      <c r="P247">
        <v>2024</v>
      </c>
    </row>
    <row r="248" spans="1:16">
      <c r="A248" t="s">
        <v>147</v>
      </c>
      <c r="B248" t="s">
        <v>240</v>
      </c>
      <c r="C248" t="s">
        <v>237</v>
      </c>
      <c r="D248" t="s">
        <v>232</v>
      </c>
      <c r="E248" t="str">
        <f>'Sardina comun'!D80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48" s="28">
        <v>45292</v>
      </c>
      <c r="G248" s="28">
        <v>45657</v>
      </c>
      <c r="H248">
        <f>'Sardina comun'!F80</f>
        <v>218.08099999999999</v>
      </c>
      <c r="I248">
        <f>'Sardina comun'!G80</f>
        <v>-218</v>
      </c>
      <c r="J248">
        <f>'Sardina comun'!H80</f>
        <v>8.0999999999988859E-2</v>
      </c>
      <c r="K248">
        <f>'Sardina comun'!I80</f>
        <v>0</v>
      </c>
      <c r="L248">
        <f>'Sardina comun'!K80</f>
        <v>8.0999999999988859E-2</v>
      </c>
      <c r="M248" s="36">
        <f>'Sardina comun'!L80</f>
        <v>0</v>
      </c>
      <c r="N248" s="101" t="str">
        <f>'IC Anch y SardC VIII'!O63</f>
        <v>-</v>
      </c>
      <c r="O248" s="28">
        <f>RESUMEN!$B$3</f>
        <v>45483</v>
      </c>
      <c r="P248">
        <v>2024</v>
      </c>
    </row>
    <row r="249" spans="1:16">
      <c r="A249" t="s">
        <v>147</v>
      </c>
      <c r="B249" t="s">
        <v>240</v>
      </c>
      <c r="C249" t="s">
        <v>237</v>
      </c>
      <c r="D249" t="s">
        <v>232</v>
      </c>
      <c r="E249" t="str">
        <f>'Sardina comun'!D81</f>
        <v>Sindicato de Trabajadores Independientes Pescadores Artesanales, Buzos Mariscadores, Armadores Artesanales y Actividades Conexas de Coronel y del Golfo de Arauco VIII Region "SIPARBUMAR CORONEL". Registro Sindical Único 08.07.0183</v>
      </c>
      <c r="F249" s="28">
        <v>45292</v>
      </c>
      <c r="G249" s="28">
        <v>45657</v>
      </c>
      <c r="H249">
        <f>'Sardina comun'!F81</f>
        <v>8502.7710000000006</v>
      </c>
      <c r="I249">
        <f>'Sardina comun'!G81</f>
        <v>2794.7709999999997</v>
      </c>
      <c r="J249">
        <f>'Sardina comun'!H81</f>
        <v>11297.542000000001</v>
      </c>
      <c r="K249">
        <f>'Sardina comun'!I81</f>
        <v>2779.0239999999999</v>
      </c>
      <c r="L249">
        <f>'Sardina comun'!K81</f>
        <v>8518.5180000000018</v>
      </c>
      <c r="M249" s="36">
        <f>'Sardina comun'!L81</f>
        <v>0.2459848345772912</v>
      </c>
      <c r="N249" s="101" t="str">
        <f>'IC Anch y SardC VIII'!O64</f>
        <v>-</v>
      </c>
      <c r="O249" s="28">
        <f>RESUMEN!$B$3</f>
        <v>45483</v>
      </c>
      <c r="P249">
        <v>2024</v>
      </c>
    </row>
    <row r="250" spans="1:16">
      <c r="A250" t="s">
        <v>147</v>
      </c>
      <c r="B250" t="s">
        <v>240</v>
      </c>
      <c r="C250" t="s">
        <v>237</v>
      </c>
      <c r="D250" t="s">
        <v>232</v>
      </c>
      <c r="E250" t="str">
        <f>'Sardina comun'!D82</f>
        <v>Sindicato de Trabajadores Independientes Pescadores Artesanales, Lancheros, Acuicultores y Actividades Conexas de Caleta Lota Bajo "SIPESCA", Registro Sindical Único 08.07.0106</v>
      </c>
      <c r="F250" s="28">
        <v>45292</v>
      </c>
      <c r="G250" s="28">
        <v>45657</v>
      </c>
      <c r="H250">
        <f>'Sardina comun'!F82</f>
        <v>182.059</v>
      </c>
      <c r="I250">
        <f>'Sardina comun'!G82</f>
        <v>0</v>
      </c>
      <c r="J250">
        <f>'Sardina comun'!H82</f>
        <v>182.059</v>
      </c>
      <c r="K250">
        <f>'Sardina comun'!I82</f>
        <v>196.10099999999997</v>
      </c>
      <c r="L250">
        <f>'Sardina comun'!K82</f>
        <v>-14.041999999999973</v>
      </c>
      <c r="M250" s="36">
        <f>'Sardina comun'!L82</f>
        <v>1.0771288428476482</v>
      </c>
      <c r="N250" s="101" t="str">
        <f>'IC Anch y SardC VIII'!O65</f>
        <v>-</v>
      </c>
      <c r="O250" s="28">
        <f>RESUMEN!$B$3</f>
        <v>45483</v>
      </c>
      <c r="P250">
        <v>2024</v>
      </c>
    </row>
    <row r="251" spans="1:16">
      <c r="A251" t="s">
        <v>147</v>
      </c>
      <c r="B251" t="s">
        <v>240</v>
      </c>
      <c r="C251" t="s">
        <v>237</v>
      </c>
      <c r="D251" t="s">
        <v>232</v>
      </c>
      <c r="E251" t="str">
        <f>'Sardina comun'!D83</f>
        <v>Sindicato de Trabajadores Independientes Pescadores de la Caleta Cocholgüe, Registro Sindical Único 08.06.0023</v>
      </c>
      <c r="F251" s="28">
        <v>45292</v>
      </c>
      <c r="G251" s="28">
        <v>45657</v>
      </c>
      <c r="H251">
        <f>'Sardina comun'!F83</f>
        <v>2.4529999999999998</v>
      </c>
      <c r="I251">
        <f>'Sardina comun'!G83</f>
        <v>0</v>
      </c>
      <c r="J251">
        <f>'Sardina comun'!H83</f>
        <v>2.4529999999999998</v>
      </c>
      <c r="K251">
        <f>'Sardina comun'!I83</f>
        <v>0</v>
      </c>
      <c r="L251">
        <f>'Sardina comun'!K83</f>
        <v>2.4529999999999998</v>
      </c>
      <c r="M251" s="36">
        <f>'Sardina comun'!L83</f>
        <v>0</v>
      </c>
      <c r="N251" s="101" t="str">
        <f>'IC Anch y SardC VIII'!O66</f>
        <v>-</v>
      </c>
      <c r="O251" s="28">
        <f>RESUMEN!$B$3</f>
        <v>45483</v>
      </c>
      <c r="P251">
        <v>2024</v>
      </c>
    </row>
    <row r="252" spans="1:16">
      <c r="A252" t="s">
        <v>147</v>
      </c>
      <c r="B252" t="s">
        <v>240</v>
      </c>
      <c r="C252" t="s">
        <v>237</v>
      </c>
      <c r="D252" t="s">
        <v>232</v>
      </c>
      <c r="E252" t="str">
        <f>'Sardina comun'!D84</f>
        <v>Sindicato de Trabajadores Independientes Pescadores de la Caleta Coliumo, Registro Sindical Único 08.06.0027</v>
      </c>
      <c r="F252" s="28">
        <v>45292</v>
      </c>
      <c r="G252" s="28">
        <v>45657</v>
      </c>
      <c r="H252">
        <f>'Sardina comun'!F84</f>
        <v>8268.3140000000003</v>
      </c>
      <c r="I252">
        <f>'Sardina comun'!G84</f>
        <v>-740</v>
      </c>
      <c r="J252">
        <f>'Sardina comun'!H84</f>
        <v>7528.3140000000003</v>
      </c>
      <c r="K252">
        <f>'Sardina comun'!I84</f>
        <v>1610.3990000000001</v>
      </c>
      <c r="L252">
        <f>'Sardina comun'!K84</f>
        <v>5917.915</v>
      </c>
      <c r="M252" s="36">
        <f>'Sardina comun'!L84</f>
        <v>0.2139123049330833</v>
      </c>
      <c r="N252" s="101" t="str">
        <f>'IC Anch y SardC VIII'!O67</f>
        <v>-</v>
      </c>
      <c r="O252" s="28">
        <f>RESUMEN!$B$3</f>
        <v>45483</v>
      </c>
      <c r="P252">
        <v>2024</v>
      </c>
    </row>
    <row r="253" spans="1:16">
      <c r="A253" t="s">
        <v>147</v>
      </c>
      <c r="B253" t="s">
        <v>240</v>
      </c>
      <c r="C253" t="s">
        <v>237</v>
      </c>
      <c r="D253" t="s">
        <v>232</v>
      </c>
      <c r="E253" t="str">
        <f>'Sardina comun'!D85</f>
        <v>Sindicato de Trabajadores Independientes Pescadores,  Armadores y  Buzos Mariscadores  y Actividades conexas de Talcahuano "SIPARBUM". Registro Sindical Único 08.05.0424</v>
      </c>
      <c r="F253" s="28">
        <v>45292</v>
      </c>
      <c r="G253" s="28">
        <v>45657</v>
      </c>
      <c r="H253">
        <f>'Sardina comun'!F85</f>
        <v>1901.335</v>
      </c>
      <c r="I253">
        <f>'Sardina comun'!G85</f>
        <v>-350</v>
      </c>
      <c r="J253">
        <f>'Sardina comun'!H85</f>
        <v>1551.335</v>
      </c>
      <c r="K253">
        <f>'Sardina comun'!I85</f>
        <v>642.32099999999991</v>
      </c>
      <c r="L253">
        <f>'Sardina comun'!K85</f>
        <v>909.01400000000012</v>
      </c>
      <c r="M253" s="36">
        <f>'Sardina comun'!L85</f>
        <v>0.41404403304250847</v>
      </c>
      <c r="N253" s="101" t="str">
        <f>'IC Anch y SardC VIII'!O68</f>
        <v>-</v>
      </c>
      <c r="O253" s="28">
        <f>RESUMEN!$B$3</f>
        <v>45483</v>
      </c>
      <c r="P253">
        <v>2024</v>
      </c>
    </row>
    <row r="254" spans="1:16">
      <c r="A254" t="s">
        <v>147</v>
      </c>
      <c r="B254" t="s">
        <v>240</v>
      </c>
      <c r="C254" t="s">
        <v>237</v>
      </c>
      <c r="D254" t="s">
        <v>232</v>
      </c>
      <c r="E254" t="str">
        <f>'Sardina comun'!D86</f>
        <v>Sindicato de Trabajadores Independientes Pescadores, Armadores  y ramas afines de la Pesca Artesanal "JUANOVOAARCE-LOTA" Registro Sindical Unico 08.07.0485</v>
      </c>
      <c r="F254" s="28">
        <v>45292</v>
      </c>
      <c r="G254" s="28">
        <v>45657</v>
      </c>
      <c r="H254">
        <f>'Sardina comun'!F86</f>
        <v>604.91899999999998</v>
      </c>
      <c r="I254">
        <f>'Sardina comun'!G86</f>
        <v>0</v>
      </c>
      <c r="J254">
        <f>'Sardina comun'!H86</f>
        <v>604.91899999999998</v>
      </c>
      <c r="K254">
        <f>'Sardina comun'!I86</f>
        <v>297.24700000000007</v>
      </c>
      <c r="L254">
        <f>'Sardina comun'!K86</f>
        <v>307.67199999999991</v>
      </c>
      <c r="M254" s="36">
        <f>'Sardina comun'!L86</f>
        <v>0.49138314385893</v>
      </c>
      <c r="N254" s="101" t="str">
        <f>'IC Anch y SardC VIII'!O69</f>
        <v>-</v>
      </c>
      <c r="O254" s="28">
        <f>RESUMEN!$B$3</f>
        <v>45483</v>
      </c>
      <c r="P254">
        <v>2024</v>
      </c>
    </row>
    <row r="255" spans="1:16">
      <c r="A255" t="s">
        <v>147</v>
      </c>
      <c r="B255" t="s">
        <v>240</v>
      </c>
      <c r="C255" t="s">
        <v>237</v>
      </c>
      <c r="D255" t="s">
        <v>232</v>
      </c>
      <c r="E255" t="str">
        <f>'Sardina comun'!D87</f>
        <v xml:space="preserve">Sindicato de Trabajadores Independientes Pescadores, Armadores Artesanales y Ramos Afines "Mar de Fondo del Biobío", (RSU N°08.05.0700) </v>
      </c>
      <c r="F255" s="28">
        <v>45292</v>
      </c>
      <c r="G255" s="28">
        <v>45657</v>
      </c>
      <c r="H255">
        <f>'Sardina comun'!F87</f>
        <v>1863.3720000000001</v>
      </c>
      <c r="I255">
        <f>'Sardina comun'!G87</f>
        <v>280</v>
      </c>
      <c r="J255">
        <f>'Sardina comun'!H87</f>
        <v>2143.3720000000003</v>
      </c>
      <c r="K255">
        <f>'Sardina comun'!I87</f>
        <v>169.24700000000001</v>
      </c>
      <c r="L255">
        <f>'Sardina comun'!K87</f>
        <v>1974.1250000000002</v>
      </c>
      <c r="M255" s="36">
        <f>'Sardina comun'!L87</f>
        <v>7.8962961165863876E-2</v>
      </c>
      <c r="N255" s="101" t="str">
        <f>'IC Anch y SardC VIII'!O70</f>
        <v>-</v>
      </c>
      <c r="O255" s="28">
        <f>RESUMEN!$B$3</f>
        <v>45483</v>
      </c>
      <c r="P255">
        <v>2024</v>
      </c>
    </row>
    <row r="256" spans="1:16">
      <c r="A256" t="s">
        <v>147</v>
      </c>
      <c r="B256" t="s">
        <v>240</v>
      </c>
      <c r="C256" t="s">
        <v>237</v>
      </c>
      <c r="D256" t="s">
        <v>232</v>
      </c>
      <c r="E256" t="str">
        <f>'Sardina comun'!D88</f>
        <v>Sindicato de Trabajadores Independientes Pescadores, Armadores Artesanales, Buzos, Acuicultores y Ramos Afines de la Pesca Artesanal, Comuna de Talcahuano "SIPEARTAL". Registro Sindical Único 08.05.0487.</v>
      </c>
      <c r="F256" s="28">
        <v>45292</v>
      </c>
      <c r="G256" s="28">
        <v>45657</v>
      </c>
      <c r="H256">
        <f>'Sardina comun'!F88</f>
        <v>2540.8040000000001</v>
      </c>
      <c r="I256">
        <f>'Sardina comun'!G88</f>
        <v>-18</v>
      </c>
      <c r="J256">
        <f>'Sardina comun'!H88</f>
        <v>2522.8040000000001</v>
      </c>
      <c r="K256">
        <f>'Sardina comun'!I88</f>
        <v>676.94200000000001</v>
      </c>
      <c r="L256">
        <f>'Sardina comun'!K88</f>
        <v>1845.8620000000001</v>
      </c>
      <c r="M256" s="36">
        <f>'Sardina comun'!L88</f>
        <v>0.26832920829362883</v>
      </c>
      <c r="N256" s="101" t="str">
        <f>'IC Anch y SardC VIII'!O71</f>
        <v>-</v>
      </c>
      <c r="O256" s="28">
        <f>RESUMEN!$B$3</f>
        <v>45483</v>
      </c>
      <c r="P256">
        <v>2024</v>
      </c>
    </row>
    <row r="257" spans="1:16">
      <c r="A257" t="s">
        <v>147</v>
      </c>
      <c r="B257" t="s">
        <v>240</v>
      </c>
      <c r="C257" t="s">
        <v>237</v>
      </c>
      <c r="D257" t="s">
        <v>232</v>
      </c>
      <c r="E257" t="str">
        <f>'Sardina comun'!D89</f>
        <v>Sindicato de Trabajadores Independientes Pescadores, Armadores y Ramas Afines de la Pesca Artesanal de Coronel "SIPESMAFESA". Registro Sindical Único 08.07.0332</v>
      </c>
      <c r="F257" s="28">
        <v>45292</v>
      </c>
      <c r="G257" s="28">
        <v>45657</v>
      </c>
      <c r="H257">
        <f>'Sardina comun'!F89</f>
        <v>3358.6619999999998</v>
      </c>
      <c r="I257">
        <f>'Sardina comun'!G89</f>
        <v>0</v>
      </c>
      <c r="J257">
        <f>'Sardina comun'!H89</f>
        <v>3358.6619999999998</v>
      </c>
      <c r="K257">
        <f>'Sardina comun'!I89</f>
        <v>171.98099999999999</v>
      </c>
      <c r="L257">
        <f>'Sardina comun'!K89</f>
        <v>3186.6809999999996</v>
      </c>
      <c r="M257" s="36">
        <f>'Sardina comun'!L89</f>
        <v>5.1205212075522935E-2</v>
      </c>
      <c r="N257" s="101" t="str">
        <f>'IC Anch y SardC VIII'!O72</f>
        <v>-</v>
      </c>
      <c r="O257" s="28">
        <f>RESUMEN!$B$3</f>
        <v>45483</v>
      </c>
      <c r="P257">
        <v>2024</v>
      </c>
    </row>
    <row r="258" spans="1:16">
      <c r="A258" t="s">
        <v>147</v>
      </c>
      <c r="B258" t="s">
        <v>240</v>
      </c>
      <c r="C258" t="s">
        <v>237</v>
      </c>
      <c r="D258" t="s">
        <v>232</v>
      </c>
      <c r="E258" t="str">
        <f>'Sardina comun'!D90</f>
        <v>Sindicato de Trabajadores Independientes Pescadores, Armadores y Ramos Afines "SIPEAYRAS" de Lota. Registro Sindical Único 08.07.0296</v>
      </c>
      <c r="F258" s="28">
        <v>45292</v>
      </c>
      <c r="G258" s="28">
        <v>45657</v>
      </c>
      <c r="H258">
        <f>'Sardina comun'!F90</f>
        <v>219.76499999999999</v>
      </c>
      <c r="I258">
        <f>'Sardina comun'!G90</f>
        <v>130</v>
      </c>
      <c r="J258">
        <f>'Sardina comun'!H90</f>
        <v>349.76499999999999</v>
      </c>
      <c r="K258">
        <f>'Sardina comun'!I90</f>
        <v>234.37099999999998</v>
      </c>
      <c r="L258">
        <f>'Sardina comun'!K90</f>
        <v>115.39400000000001</v>
      </c>
      <c r="M258" s="36">
        <f>'Sardina comun'!L90</f>
        <v>0.6700813403285063</v>
      </c>
      <c r="N258" s="101" t="str">
        <f>'IC Anch y SardC VIII'!O73</f>
        <v>-</v>
      </c>
      <c r="O258" s="28">
        <f>RESUMEN!$B$3</f>
        <v>45483</v>
      </c>
      <c r="P258">
        <v>2024</v>
      </c>
    </row>
    <row r="259" spans="1:16">
      <c r="A259" t="s">
        <v>147</v>
      </c>
      <c r="B259" t="s">
        <v>240</v>
      </c>
      <c r="C259" t="s">
        <v>237</v>
      </c>
      <c r="D259" t="s">
        <v>232</v>
      </c>
      <c r="E259" t="str">
        <f>'Sardina comun'!D91</f>
        <v>Sindicato de Trabajadores Independientes Pescadores, Armadores y Ramos Afines de la Pesca Artesanal de Coronel, SIPARMAR CORONEL , Registro Sindical Único 08.07.0271</v>
      </c>
      <c r="F259" s="28">
        <v>45292</v>
      </c>
      <c r="G259" s="28">
        <v>45657</v>
      </c>
      <c r="H259">
        <f>'Sardina comun'!F91</f>
        <v>1154.6990000000001</v>
      </c>
      <c r="I259">
        <f>'Sardina comun'!G91</f>
        <v>0</v>
      </c>
      <c r="J259">
        <f>'Sardina comun'!H91</f>
        <v>1154.6990000000001</v>
      </c>
      <c r="K259">
        <f>'Sardina comun'!I91</f>
        <v>584.21299999999997</v>
      </c>
      <c r="L259">
        <f>'Sardina comun'!K91</f>
        <v>570.4860000000001</v>
      </c>
      <c r="M259" s="36">
        <f>'Sardina comun'!L91</f>
        <v>0.50594397327788443</v>
      </c>
      <c r="N259" s="101" t="str">
        <f>'IC Anch y SardC VIII'!O74</f>
        <v>-</v>
      </c>
      <c r="O259" s="28">
        <f>RESUMEN!$B$3</f>
        <v>45483</v>
      </c>
      <c r="P259">
        <v>2024</v>
      </c>
    </row>
    <row r="260" spans="1:16">
      <c r="A260" t="s">
        <v>147</v>
      </c>
      <c r="B260" t="s">
        <v>240</v>
      </c>
      <c r="C260" t="s">
        <v>237</v>
      </c>
      <c r="D260" t="s">
        <v>232</v>
      </c>
      <c r="E260" t="str">
        <f>'Sardina comun'!D92</f>
        <v>Sindicato de Trabajadores Independientes Pescdores y Armadores artesanales de embarcaciones menores de la Caleta de Tumbes "SIPEAREM" Comuna Talcahuano, Registro Sindical Único 08.05.0569</v>
      </c>
      <c r="F260" s="28">
        <v>45292</v>
      </c>
      <c r="G260" s="28">
        <v>45657</v>
      </c>
      <c r="H260">
        <f>'Sardina comun'!F92</f>
        <v>110.402</v>
      </c>
      <c r="I260">
        <f>'Sardina comun'!G92</f>
        <v>27</v>
      </c>
      <c r="J260">
        <f>'Sardina comun'!H92</f>
        <v>137.40199999999999</v>
      </c>
      <c r="K260">
        <f>'Sardina comun'!I92</f>
        <v>183.58700000000002</v>
      </c>
      <c r="L260">
        <f>'Sardina comun'!K92</f>
        <v>-46.185000000000031</v>
      </c>
      <c r="M260" s="36">
        <f>'Sardina comun'!L92</f>
        <v>1.3361304784500956</v>
      </c>
      <c r="N260" s="101" t="str">
        <f>'IC Anch y SardC VIII'!O75</f>
        <v>-</v>
      </c>
      <c r="O260" s="28">
        <f>RESUMEN!$B$3</f>
        <v>45483</v>
      </c>
      <c r="P260">
        <v>2024</v>
      </c>
    </row>
    <row r="261" spans="1:16">
      <c r="A261" t="s">
        <v>147</v>
      </c>
      <c r="B261" t="s">
        <v>240</v>
      </c>
      <c r="C261" t="s">
        <v>237</v>
      </c>
      <c r="D261" t="s">
        <v>232</v>
      </c>
      <c r="E261" t="str">
        <f>'Sardina comun'!D93</f>
        <v>Sindicato de Trabajadores Independientes, Ayudantes de Buzos, Pescadores Artesanales y Algueras y Actividades Conexas de las Caletas Tomé y Quichiuto, Registro Sindical Único 08.06.0043</v>
      </c>
      <c r="F261" s="28">
        <v>45292</v>
      </c>
      <c r="G261" s="28">
        <v>45657</v>
      </c>
      <c r="H261">
        <f>'Sardina comun'!F93</f>
        <v>1744.92</v>
      </c>
      <c r="I261">
        <f>'Sardina comun'!G93</f>
        <v>-1744.9</v>
      </c>
      <c r="J261">
        <f>'Sardina comun'!H93</f>
        <v>1.999999999998181E-2</v>
      </c>
      <c r="K261">
        <f>'Sardina comun'!I93</f>
        <v>0</v>
      </c>
      <c r="L261">
        <f>'Sardina comun'!K93</f>
        <v>1.999999999998181E-2</v>
      </c>
      <c r="M261" s="36">
        <f>'Sardina comun'!L93</f>
        <v>0</v>
      </c>
      <c r="N261" s="101" t="str">
        <f>'IC Anch y SardC VIII'!O76</f>
        <v>-</v>
      </c>
      <c r="O261" s="28">
        <f>RESUMEN!$B$3</f>
        <v>45483</v>
      </c>
      <c r="P261">
        <v>2024</v>
      </c>
    </row>
    <row r="262" spans="1:16">
      <c r="A262" t="s">
        <v>147</v>
      </c>
      <c r="B262" t="s">
        <v>240</v>
      </c>
      <c r="C262" t="s">
        <v>237</v>
      </c>
      <c r="D262" t="s">
        <v>232</v>
      </c>
      <c r="E262" t="str">
        <f>'Sardina comun'!D94</f>
        <v>Sindicato de Trabajadores Independientes, Pescadores Artesanales Pelágicos, Patrones y Tripulantes de Pesca Artesanal y Actividades Conexas de la Comuna de Talcahuano, " ASPAS". Registro Sindical Único 08.05.0474</v>
      </c>
      <c r="F262" s="28">
        <v>45292</v>
      </c>
      <c r="G262" s="28">
        <v>45657</v>
      </c>
      <c r="H262">
        <f>'Sardina comun'!F94</f>
        <v>1921.38</v>
      </c>
      <c r="I262">
        <f>'Sardina comun'!G94</f>
        <v>0</v>
      </c>
      <c r="J262">
        <f>'Sardina comun'!H94</f>
        <v>1921.38</v>
      </c>
      <c r="K262">
        <f>'Sardina comun'!I94</f>
        <v>163.946</v>
      </c>
      <c r="L262">
        <f>'Sardina comun'!K94</f>
        <v>1757.4340000000002</v>
      </c>
      <c r="M262" s="36">
        <f>'Sardina comun'!L94</f>
        <v>0</v>
      </c>
      <c r="N262" s="101" t="str">
        <f>'IC Anch y SardC VIII'!O77</f>
        <v>-</v>
      </c>
      <c r="O262" s="28">
        <f>RESUMEN!$B$3</f>
        <v>45483</v>
      </c>
      <c r="P262">
        <v>2024</v>
      </c>
    </row>
    <row r="263" spans="1:16">
      <c r="A263" t="s">
        <v>147</v>
      </c>
      <c r="B263" t="s">
        <v>240</v>
      </c>
      <c r="C263" t="s">
        <v>237</v>
      </c>
      <c r="D263" t="s">
        <v>232</v>
      </c>
      <c r="E263" t="str">
        <f>'Sardina comun'!D95</f>
        <v>Sindicato de Trabajadores Independientes, Pescadores Artesanales y Ramos Afines Sta Maria Comuna de Talcahuano, " SIPASMA". Registro Sindical Único 08.05.0602</v>
      </c>
      <c r="F263" s="28">
        <v>45292</v>
      </c>
      <c r="G263" s="28">
        <v>45657</v>
      </c>
      <c r="H263">
        <f>'Sardina comun'!F95</f>
        <v>2172.4920000000002</v>
      </c>
      <c r="I263">
        <f>'Sardina comun'!G95</f>
        <v>0</v>
      </c>
      <c r="J263">
        <f>'Sardina comun'!H95</f>
        <v>2172.4920000000002</v>
      </c>
      <c r="K263">
        <f>'Sardina comun'!I95</f>
        <v>358.82900000000006</v>
      </c>
      <c r="L263">
        <f>'Sardina comun'!K95</f>
        <v>1813.663</v>
      </c>
      <c r="M263" s="36">
        <f>'Sardina comun'!L95</f>
        <v>0.16516930787317055</v>
      </c>
      <c r="N263" s="101" t="str">
        <f>'IC Anch y SardC VIII'!O78</f>
        <v>-</v>
      </c>
      <c r="O263" s="28">
        <f>RESUMEN!$B$3</f>
        <v>45483</v>
      </c>
      <c r="P263">
        <v>2024</v>
      </c>
    </row>
    <row r="264" spans="1:16">
      <c r="A264" t="s">
        <v>147</v>
      </c>
      <c r="B264" t="s">
        <v>240</v>
      </c>
      <c r="C264" t="s">
        <v>237</v>
      </c>
      <c r="D264" t="s">
        <v>232</v>
      </c>
      <c r="E264" t="str">
        <f>'Sardina comun'!D96</f>
        <v>Sindicato de Trabajadores Independientes, Pescadores Artesanales, Armadores Artesanales y Actividades Conexas de la Caleta de Lota VIII Región "SIPAR GENTE DE MAR". Registros Sindical Único 08.07.0326</v>
      </c>
      <c r="F264" s="28">
        <v>45292</v>
      </c>
      <c r="G264" s="28">
        <v>45657</v>
      </c>
      <c r="H264">
        <f>'Sardina comun'!F96</f>
        <v>3370.1460000000002</v>
      </c>
      <c r="I264">
        <f>'Sardina comun'!G96</f>
        <v>-350</v>
      </c>
      <c r="J264">
        <f>'Sardina comun'!H96</f>
        <v>3020.1460000000002</v>
      </c>
      <c r="K264">
        <f>'Sardina comun'!I96</f>
        <v>212.59999999999997</v>
      </c>
      <c r="L264">
        <f>'Sardina comun'!K96</f>
        <v>2807.5460000000003</v>
      </c>
      <c r="M264" s="36">
        <f>'Sardina comun'!L96</f>
        <v>7.0393947842256624E-2</v>
      </c>
      <c r="N264" s="101" t="str">
        <f>'IC Anch y SardC VIII'!O79</f>
        <v>-</v>
      </c>
      <c r="O264" s="28">
        <f>RESUMEN!$B$3</f>
        <v>45483</v>
      </c>
      <c r="P264">
        <v>2024</v>
      </c>
    </row>
    <row r="265" spans="1:16">
      <c r="A265" t="s">
        <v>147</v>
      </c>
      <c r="B265" t="s">
        <v>240</v>
      </c>
      <c r="C265" t="s">
        <v>237</v>
      </c>
      <c r="D265" t="s">
        <v>232</v>
      </c>
      <c r="E265" t="str">
        <f>'Sardina comun'!D97</f>
        <v>Sindicato de Trabajadores Independientes, Pescadores Artesanales, Armadores Artesanales, "Rio Maipo" de la Caleta de San Vicente de la Comuna de Talcahuano; Registro Sindical Único 08.05.0488.</v>
      </c>
      <c r="F265" s="28">
        <v>45292</v>
      </c>
      <c r="G265" s="28">
        <v>45657</v>
      </c>
      <c r="H265">
        <f>'Sardina comun'!F97</f>
        <v>1017.239</v>
      </c>
      <c r="I265">
        <f>'Sardina comun'!G97</f>
        <v>0</v>
      </c>
      <c r="J265">
        <f>'Sardina comun'!H97</f>
        <v>1017.239</v>
      </c>
      <c r="K265">
        <f>'Sardina comun'!I97</f>
        <v>4.5</v>
      </c>
      <c r="L265">
        <f>'Sardina comun'!K97</f>
        <v>1012.739</v>
      </c>
      <c r="M265" s="36">
        <f>'Sardina comun'!L97</f>
        <v>4.4237391606102398E-3</v>
      </c>
      <c r="N265" s="101" t="str">
        <f>'IC Anch y SardC VIII'!O80</f>
        <v>-</v>
      </c>
      <c r="O265" s="28">
        <f>RESUMEN!$B$3</f>
        <v>45483</v>
      </c>
      <c r="P265">
        <v>2024</v>
      </c>
    </row>
    <row r="266" spans="1:16">
      <c r="A266" t="s">
        <v>147</v>
      </c>
      <c r="B266" t="s">
        <v>240</v>
      </c>
      <c r="C266" t="s">
        <v>237</v>
      </c>
      <c r="D266" t="s">
        <v>232</v>
      </c>
      <c r="E266" t="str">
        <f>'Sardina comun'!D98</f>
        <v>Sindicato de Trabajadores Independientes, Pescadores Artesanales, Armadores Artesanales, Buzos Mariscadores y Recolectores de Orilla Isla Santa Maria Puerto Sur, Registro Sindical Único 08.07.0364.</v>
      </c>
      <c r="F266" s="28">
        <v>45292</v>
      </c>
      <c r="G266" s="28">
        <v>45657</v>
      </c>
      <c r="H266">
        <f>'Sardina comun'!F98</f>
        <v>15.13</v>
      </c>
      <c r="I266">
        <f>'Sardina comun'!G98</f>
        <v>0</v>
      </c>
      <c r="J266">
        <f>'Sardina comun'!H98</f>
        <v>15.13</v>
      </c>
      <c r="K266">
        <f>'Sardina comun'!I98</f>
        <v>1.6040000000000001</v>
      </c>
      <c r="L266">
        <f>'Sardina comun'!K98</f>
        <v>13.526</v>
      </c>
      <c r="M266" s="36">
        <f>'Sardina comun'!L98</f>
        <v>0.10601454064771976</v>
      </c>
      <c r="N266" s="101" t="str">
        <f>'IC Anch y SardC VIII'!O81</f>
        <v>-</v>
      </c>
      <c r="O266" s="28">
        <f>RESUMEN!$B$3</f>
        <v>45483</v>
      </c>
      <c r="P266">
        <v>2024</v>
      </c>
    </row>
    <row r="267" spans="1:16">
      <c r="A267" t="s">
        <v>147</v>
      </c>
      <c r="B267" t="s">
        <v>240</v>
      </c>
      <c r="C267" t="s">
        <v>237</v>
      </c>
      <c r="D267" t="s">
        <v>232</v>
      </c>
      <c r="E267" t="str">
        <f>'Sardina comun'!D99</f>
        <v>Sindicato de Trabajadores Independientes, Tripulantes y Armadores de Botes, Pescadores Artesanales, Algueros, Mariscadores y Actividades conexas de la caleta Tumbes de la comuna de Talcahuano. Registro Sindical Único 08.05.0495</v>
      </c>
      <c r="F267" s="28">
        <v>45292</v>
      </c>
      <c r="G267" s="28">
        <v>45657</v>
      </c>
      <c r="H267">
        <f>'Sardina comun'!F99</f>
        <v>428.01400000000001</v>
      </c>
      <c r="I267">
        <f>'Sardina comun'!G99</f>
        <v>0</v>
      </c>
      <c r="J267">
        <f>'Sardina comun'!H99</f>
        <v>428.01400000000001</v>
      </c>
      <c r="K267">
        <f>'Sardina comun'!I99</f>
        <v>327.32900000000001</v>
      </c>
      <c r="L267">
        <f>'Sardina comun'!K99</f>
        <v>100.685</v>
      </c>
      <c r="M267" s="36">
        <f>'Sardina comun'!L99</f>
        <v>0.76476236758610705</v>
      </c>
      <c r="N267" s="101" t="str">
        <f>'IC Anch y SardC VIII'!O82</f>
        <v>-</v>
      </c>
      <c r="O267" s="28">
        <f>RESUMEN!$B$3</f>
        <v>45483</v>
      </c>
      <c r="P267">
        <v>2024</v>
      </c>
    </row>
    <row r="268" spans="1:16">
      <c r="A268" t="s">
        <v>147</v>
      </c>
      <c r="B268" t="s">
        <v>240</v>
      </c>
      <c r="C268" t="s">
        <v>237</v>
      </c>
      <c r="D268" t="s">
        <v>232</v>
      </c>
      <c r="E268" t="str">
        <f>'Sardina comun'!D100</f>
        <v>Sindicato Independiente de Armadores Pescadores Artesanales Tripulantes y Ramas Similares "Bahia Concepción", Registro Sindical Unico 08.05.0648</v>
      </c>
      <c r="F268" s="28">
        <v>45292</v>
      </c>
      <c r="G268" s="28">
        <v>45657</v>
      </c>
      <c r="H268">
        <f>'Sardina comun'!F100</f>
        <v>1624.6990000000001</v>
      </c>
      <c r="I268">
        <f>'Sardina comun'!G100</f>
        <v>0</v>
      </c>
      <c r="J268">
        <f>'Sardina comun'!H100</f>
        <v>1624.6990000000001</v>
      </c>
      <c r="K268">
        <f>'Sardina comun'!I100</f>
        <v>850.01099999999997</v>
      </c>
      <c r="L268">
        <f>'Sardina comun'!K100</f>
        <v>774.6880000000001</v>
      </c>
      <c r="M268" s="36">
        <f>'Sardina comun'!L100</f>
        <v>0.52318060145294598</v>
      </c>
      <c r="N268" s="101" t="str">
        <f>'IC Anch y SardC VIII'!O83</f>
        <v>-</v>
      </c>
      <c r="O268" s="28">
        <f>RESUMEN!$B$3</f>
        <v>45483</v>
      </c>
      <c r="P268">
        <v>2024</v>
      </c>
    </row>
    <row r="269" spans="1:16">
      <c r="A269" t="s">
        <v>147</v>
      </c>
      <c r="B269" t="s">
        <v>240</v>
      </c>
      <c r="C269" t="s">
        <v>237</v>
      </c>
      <c r="D269" t="s">
        <v>232</v>
      </c>
      <c r="E269" t="str">
        <f>'Sardina comun'!D101</f>
        <v>Sindicato Independiente de Armadores y Pescadores Artesanales Afines "SARPE". Registro Sindical Único 08.05.0398</v>
      </c>
      <c r="F269" s="28">
        <v>45292</v>
      </c>
      <c r="G269" s="28">
        <v>45657</v>
      </c>
      <c r="H269">
        <f>'Sardina comun'!F101</f>
        <v>8702.402</v>
      </c>
      <c r="I269">
        <f>'Sardina comun'!G101</f>
        <v>1743</v>
      </c>
      <c r="J269">
        <f>'Sardina comun'!H101</f>
        <v>10445.402</v>
      </c>
      <c r="K269">
        <f>'Sardina comun'!I101</f>
        <v>1433.1889999999999</v>
      </c>
      <c r="L269">
        <f>'Sardina comun'!K101</f>
        <v>9012.2129999999997</v>
      </c>
      <c r="M269" s="36">
        <f>'Sardina comun'!L101</f>
        <v>0.1372076440906726</v>
      </c>
      <c r="N269" s="101" t="str">
        <f>'IC Anch y SardC VIII'!O84</f>
        <v>-</v>
      </c>
      <c r="O269" s="28">
        <f>RESUMEN!$B$3</f>
        <v>45483</v>
      </c>
      <c r="P269">
        <v>2024</v>
      </c>
    </row>
    <row r="270" spans="1:16">
      <c r="A270" t="s">
        <v>147</v>
      </c>
      <c r="B270" t="s">
        <v>240</v>
      </c>
      <c r="C270" t="s">
        <v>237</v>
      </c>
      <c r="D270" t="s">
        <v>232</v>
      </c>
      <c r="E270" t="str">
        <f>'Sardina comun'!D102</f>
        <v>Sindicato Independiente de Pescadores Artesanales Activos Coronel (RSU N° 08.07.0512)</v>
      </c>
      <c r="F270" s="28">
        <v>45292</v>
      </c>
      <c r="G270" s="28">
        <v>45657</v>
      </c>
      <c r="H270">
        <f>'Sardina comun'!F102</f>
        <v>57.351999999999997</v>
      </c>
      <c r="I270">
        <f>'Sardina comun'!G102</f>
        <v>0</v>
      </c>
      <c r="J270">
        <f>'Sardina comun'!H102</f>
        <v>57.351999999999997</v>
      </c>
      <c r="K270">
        <f>'Sardina comun'!I102</f>
        <v>0</v>
      </c>
      <c r="L270">
        <f>'Sardina comun'!K102</f>
        <v>57.351999999999997</v>
      </c>
      <c r="M270" s="36">
        <f>'Sardina comun'!L102</f>
        <v>0</v>
      </c>
      <c r="N270" s="101" t="str">
        <f>'IC Anch y SardC VIII'!O85</f>
        <v>-</v>
      </c>
      <c r="O270" s="28">
        <f>RESUMEN!$B$3</f>
        <v>45483</v>
      </c>
      <c r="P270">
        <v>2024</v>
      </c>
    </row>
    <row r="271" spans="1:16">
      <c r="A271" t="s">
        <v>147</v>
      </c>
      <c r="B271" t="s">
        <v>240</v>
      </c>
      <c r="C271" t="s">
        <v>237</v>
      </c>
      <c r="D271" t="s">
        <v>232</v>
      </c>
      <c r="E271" t="str">
        <f>'Sardina comun'!D103</f>
        <v>Sociedad Cooperativa Benesino Limitada ROL 5871</v>
      </c>
      <c r="F271" s="28">
        <v>45292</v>
      </c>
      <c r="G271" s="28">
        <v>45657</v>
      </c>
      <c r="H271">
        <f>'Sardina comun'!F103</f>
        <v>82.472999999999999</v>
      </c>
      <c r="I271">
        <f>'Sardina comun'!G103</f>
        <v>0</v>
      </c>
      <c r="J271">
        <f>'Sardina comun'!H103</f>
        <v>82.472999999999999</v>
      </c>
      <c r="K271">
        <f>'Sardina comun'!I103</f>
        <v>88.040999999999997</v>
      </c>
      <c r="L271">
        <f>'Sardina comun'!K103</f>
        <v>-5.5679999999999978</v>
      </c>
      <c r="M271" s="36">
        <f>'Sardina comun'!L103</f>
        <v>1.0675130042559382</v>
      </c>
      <c r="N271" s="101" t="str">
        <f>'IC Anch y SardC VIII'!O86</f>
        <v>-</v>
      </c>
      <c r="O271" s="28">
        <f>RESUMEN!$B$3</f>
        <v>45483</v>
      </c>
      <c r="P271">
        <v>2024</v>
      </c>
    </row>
    <row r="272" spans="1:16">
      <c r="A272" t="s">
        <v>147</v>
      </c>
      <c r="B272" t="s">
        <v>240</v>
      </c>
      <c r="C272" t="s">
        <v>237</v>
      </c>
      <c r="D272" t="s">
        <v>232</v>
      </c>
      <c r="E272" t="str">
        <f>'Sardina comun'!D104</f>
        <v>STI Armadores y Pescadores artesanales, Acuicultores, Algueros (as) y Ramos afines "MAFMAR", Registro Sindical Unico 08.05.0645</v>
      </c>
      <c r="F272" s="28">
        <v>45292</v>
      </c>
      <c r="G272" s="28">
        <v>45657</v>
      </c>
      <c r="H272">
        <f>'Sardina comun'!F104</f>
        <v>1859.751</v>
      </c>
      <c r="I272">
        <f>'Sardina comun'!G104</f>
        <v>170.10000000000002</v>
      </c>
      <c r="J272">
        <f>'Sardina comun'!H104</f>
        <v>2029.8510000000001</v>
      </c>
      <c r="K272">
        <f>'Sardina comun'!I104</f>
        <v>442.12899999999996</v>
      </c>
      <c r="L272">
        <f>'Sardina comun'!K104</f>
        <v>1587.7220000000002</v>
      </c>
      <c r="M272" s="36">
        <f>'Sardina comun'!L104</f>
        <v>0.21781352424389766</v>
      </c>
      <c r="N272" s="101" t="str">
        <f>'IC Anch y SardC VIII'!O87</f>
        <v>-</v>
      </c>
      <c r="O272" s="28">
        <f>RESUMEN!$B$3</f>
        <v>45483</v>
      </c>
      <c r="P272">
        <v>2024</v>
      </c>
    </row>
    <row r="273" spans="1:16">
      <c r="A273" t="s">
        <v>147</v>
      </c>
      <c r="B273" t="s">
        <v>240</v>
      </c>
      <c r="C273" t="s">
        <v>237</v>
      </c>
      <c r="D273" t="s">
        <v>232</v>
      </c>
      <c r="E273" t="str">
        <f>'Sardina comun'!D105</f>
        <v>CUOTA RESIDUAL VIII</v>
      </c>
      <c r="F273" s="28">
        <v>45292</v>
      </c>
      <c r="G273" s="28">
        <v>45657</v>
      </c>
      <c r="H273">
        <f>'Sardina comun'!F105</f>
        <v>22.151</v>
      </c>
      <c r="I273">
        <f>'Sardina comun'!G105</f>
        <v>0</v>
      </c>
      <c r="J273">
        <f>'Sardina comun'!H105</f>
        <v>22.151</v>
      </c>
      <c r="K273">
        <f>'Sardina comun'!I105</f>
        <v>22.72</v>
      </c>
      <c r="L273">
        <f>'Sardina comun'!K105</f>
        <v>-0.56899999999999906</v>
      </c>
      <c r="M273" s="36">
        <f>'Sardina comun'!L105</f>
        <v>1.0256873278858742</v>
      </c>
      <c r="N273" s="101">
        <f>'IC Anch y SardC VIII'!O88</f>
        <v>45359</v>
      </c>
      <c r="O273" s="28">
        <f>RESUMEN!$B$3</f>
        <v>45483</v>
      </c>
      <c r="P273">
        <v>2024</v>
      </c>
    </row>
    <row r="274" spans="1:16" s="107" customFormat="1">
      <c r="A274" s="108" t="s">
        <v>147</v>
      </c>
      <c r="B274" s="108" t="s">
        <v>240</v>
      </c>
      <c r="C274" s="108" t="s">
        <v>237</v>
      </c>
      <c r="D274" s="127" t="s">
        <v>328</v>
      </c>
      <c r="E274" s="108" t="str">
        <f>'Sardina comun'!D107</f>
        <v>Total Región del Biobio y Ñuble</v>
      </c>
      <c r="F274" s="133">
        <v>45292</v>
      </c>
      <c r="G274" s="133">
        <v>45657</v>
      </c>
      <c r="H274" s="108">
        <f>'Sardina comun'!F107</f>
        <v>181091.00900000008</v>
      </c>
      <c r="I274" s="108">
        <f>'Sardina comun'!G107</f>
        <v>-2560.0670000000014</v>
      </c>
      <c r="J274" s="108">
        <f>'Sardina comun'!H107</f>
        <v>178530.94200000007</v>
      </c>
      <c r="K274" s="112">
        <f>'Sardina comun'!I107</f>
        <v>46982.587999999989</v>
      </c>
      <c r="L274" s="112">
        <f>'Sardina comun'!K107</f>
        <v>131548.35400000008</v>
      </c>
      <c r="M274" s="110">
        <f>'Sardina comun'!L107</f>
        <v>0.26316215818768252</v>
      </c>
      <c r="N274" s="111" t="str">
        <f>'Sardina comun'!M107</f>
        <v>-</v>
      </c>
      <c r="O274" s="109">
        <f>RESUMEN!$B$3</f>
        <v>45483</v>
      </c>
      <c r="P274">
        <v>2024</v>
      </c>
    </row>
    <row r="275" spans="1:16">
      <c r="A275" t="s">
        <v>147</v>
      </c>
      <c r="B275" t="s">
        <v>240</v>
      </c>
      <c r="C275" t="s">
        <v>202</v>
      </c>
      <c r="D275" s="127" t="s">
        <v>328</v>
      </c>
      <c r="E275" t="str">
        <f>'Sardina comun'!D109</f>
        <v>Región de la Araucanía</v>
      </c>
      <c r="F275" s="28">
        <v>45292</v>
      </c>
      <c r="G275" s="28">
        <v>45657</v>
      </c>
      <c r="H275">
        <f>'Sardina comun'!F109</f>
        <v>2680</v>
      </c>
      <c r="I275">
        <f>'Sardina comun'!G109</f>
        <v>1079.624</v>
      </c>
      <c r="J275">
        <f>'Sardina comun'!H109</f>
        <v>3759.6239999999998</v>
      </c>
      <c r="K275">
        <f>'Sardina comun'!I109</f>
        <v>5207.28</v>
      </c>
      <c r="L275">
        <f>'Sardina comun'!K109</f>
        <v>-1447.6559999999999</v>
      </c>
      <c r="M275" s="36">
        <f>'Sardina comun'!L109</f>
        <v>1.3850533989569169</v>
      </c>
      <c r="N275" s="101">
        <f>'IC Anch-SardC V-VII y IX-X'!O19</f>
        <v>45429</v>
      </c>
      <c r="O275" s="28">
        <f>RESUMEN!$B$3</f>
        <v>45483</v>
      </c>
      <c r="P275">
        <v>2024</v>
      </c>
    </row>
    <row r="276" spans="1:16">
      <c r="A276" s="124" t="s">
        <v>147</v>
      </c>
      <c r="B276" s="124" t="s">
        <v>240</v>
      </c>
      <c r="C276" s="124" t="s">
        <v>202</v>
      </c>
      <c r="D276" s="127" t="s">
        <v>328</v>
      </c>
      <c r="E276" s="124" t="str">
        <f>'Sardina comun'!D111</f>
        <v>Total Región de La Araucanía</v>
      </c>
      <c r="F276" s="131">
        <v>45292</v>
      </c>
      <c r="G276" s="131">
        <v>45657</v>
      </c>
      <c r="H276" s="124">
        <f>'Sardina comun'!F111</f>
        <v>2680</v>
      </c>
      <c r="I276" s="124">
        <f>'Sardina comun'!G111</f>
        <v>1079.624</v>
      </c>
      <c r="J276" s="124">
        <f>'Sardina comun'!H111</f>
        <v>3759.6239999999998</v>
      </c>
      <c r="K276" s="124">
        <f>'Sardina comun'!I111</f>
        <v>5207.28</v>
      </c>
      <c r="L276" s="124">
        <f>'Sardina comun'!K111</f>
        <v>-1447.6559999999999</v>
      </c>
      <c r="M276" s="129">
        <f>'Sardina comun'!L111</f>
        <v>1.3850533989569169</v>
      </c>
      <c r="N276" s="130" t="str">
        <f>'Sardina comun'!M111</f>
        <v>-</v>
      </c>
      <c r="O276" s="28">
        <f>RESUMEN!$B$3</f>
        <v>45483</v>
      </c>
      <c r="P276">
        <v>2024</v>
      </c>
    </row>
    <row r="277" spans="1:16">
      <c r="A277" t="s">
        <v>147</v>
      </c>
      <c r="B277" t="s">
        <v>240</v>
      </c>
      <c r="C277" t="s">
        <v>201</v>
      </c>
      <c r="D277" t="s">
        <v>232</v>
      </c>
      <c r="E277" t="str">
        <f>'Sardina comun'!D113</f>
        <v>AG APEVAL. RAG 29-14</v>
      </c>
      <c r="F277" s="28">
        <v>45292</v>
      </c>
      <c r="G277" s="28">
        <v>45657</v>
      </c>
      <c r="H277">
        <f>'Sardina comun'!F113</f>
        <v>1012.208</v>
      </c>
      <c r="I277">
        <f>'Sardina comun'!G113</f>
        <v>-530</v>
      </c>
      <c r="J277">
        <f>'Sardina comun'!H113</f>
        <v>482.20799999999997</v>
      </c>
      <c r="K277">
        <f>'Sardina comun'!I113</f>
        <v>343.85599999999999</v>
      </c>
      <c r="L277">
        <f>'Sardina comun'!K113</f>
        <v>138.35199999999998</v>
      </c>
      <c r="M277" s="36">
        <f>'Sardina comun'!L113</f>
        <v>0.71308646890968219</v>
      </c>
      <c r="N277" s="101" t="str">
        <f>'Sardina comun'!M113</f>
        <v>-</v>
      </c>
      <c r="O277" s="28">
        <f>RESUMEN!$B$3</f>
        <v>45483</v>
      </c>
      <c r="P277">
        <v>2024</v>
      </c>
    </row>
    <row r="278" spans="1:16">
      <c r="A278" t="s">
        <v>147</v>
      </c>
      <c r="B278" t="s">
        <v>240</v>
      </c>
      <c r="C278" t="s">
        <v>201</v>
      </c>
      <c r="D278" t="s">
        <v>232</v>
      </c>
      <c r="E278" t="str">
        <f>'Sardina comun'!D114</f>
        <v>AG ACERMAR. RAG 4205</v>
      </c>
      <c r="F278" s="28">
        <v>45292</v>
      </c>
      <c r="G278" s="28">
        <v>45657</v>
      </c>
      <c r="H278">
        <f>'Sardina comun'!F114</f>
        <v>2059.4609999999998</v>
      </c>
      <c r="I278">
        <f>'Sardina comun'!G114</f>
        <v>-818.51700000000005</v>
      </c>
      <c r="J278">
        <f>'Sardina comun'!H114</f>
        <v>1240.9439999999997</v>
      </c>
      <c r="K278">
        <f>'Sardina comun'!I114</f>
        <v>1031.527</v>
      </c>
      <c r="L278">
        <f>'Sardina comun'!K114</f>
        <v>209.41699999999969</v>
      </c>
      <c r="M278" s="36">
        <f>'Sardina comun'!L114</f>
        <v>0.83124379504635204</v>
      </c>
      <c r="N278" s="101">
        <f>'Sardina comun'!M114</f>
        <v>0</v>
      </c>
      <c r="O278" s="28">
        <f>RESUMEN!$B$3</f>
        <v>45483</v>
      </c>
      <c r="P278">
        <v>2024</v>
      </c>
    </row>
    <row r="279" spans="1:16">
      <c r="A279" t="s">
        <v>147</v>
      </c>
      <c r="B279" t="s">
        <v>240</v>
      </c>
      <c r="C279" t="s">
        <v>201</v>
      </c>
      <c r="D279" t="s">
        <v>232</v>
      </c>
      <c r="E279" t="str">
        <f>'Sardina comun'!D115</f>
        <v>AG PERSARPEL. RAG 115-14</v>
      </c>
      <c r="F279" s="28">
        <v>45292</v>
      </c>
      <c r="G279" s="28">
        <v>45657</v>
      </c>
      <c r="H279">
        <f>'Sardina comun'!F115</f>
        <v>2605.1930000000002</v>
      </c>
      <c r="I279">
        <f>'Sardina comun'!G115</f>
        <v>0</v>
      </c>
      <c r="J279">
        <f>'Sardina comun'!H115</f>
        <v>2605.1930000000002</v>
      </c>
      <c r="K279">
        <f>'Sardina comun'!I115</f>
        <v>2057.5389999999998</v>
      </c>
      <c r="L279">
        <f>'Sardina comun'!K115</f>
        <v>547.65400000000045</v>
      </c>
      <c r="M279" s="36">
        <f>'Sardina comun'!L115</f>
        <v>0.78978371276139603</v>
      </c>
      <c r="N279" s="101"/>
      <c r="O279" s="28">
        <f>RESUMEN!$B$3</f>
        <v>45483</v>
      </c>
      <c r="P279">
        <v>2024</v>
      </c>
    </row>
    <row r="280" spans="1:16">
      <c r="A280" t="s">
        <v>147</v>
      </c>
      <c r="B280" t="s">
        <v>240</v>
      </c>
      <c r="C280" t="s">
        <v>201</v>
      </c>
      <c r="D280" t="s">
        <v>232</v>
      </c>
      <c r="E280" t="str">
        <f>'Sardina comun'!D116</f>
        <v xml:space="preserve"> AG ACER. RAG 3793</v>
      </c>
      <c r="F280" s="28">
        <v>45292</v>
      </c>
      <c r="G280" s="28">
        <v>45657</v>
      </c>
      <c r="H280">
        <f>'Sardina comun'!F116</f>
        <v>2110.826</v>
      </c>
      <c r="I280">
        <f>'Sardina comun'!G116</f>
        <v>-475</v>
      </c>
      <c r="J280">
        <f>'Sardina comun'!H116</f>
        <v>1635.826</v>
      </c>
      <c r="K280">
        <f>'Sardina comun'!I116</f>
        <v>1038.7080000000001</v>
      </c>
      <c r="L280">
        <f>'Sardina comun'!K116</f>
        <v>597.11799999999994</v>
      </c>
      <c r="M280" s="36">
        <f>'Sardina comun'!L116</f>
        <v>0.63497462444049679</v>
      </c>
      <c r="N280" s="101" t="str">
        <f>'Sardina comun'!M116</f>
        <v>-</v>
      </c>
      <c r="O280" s="28">
        <f>RESUMEN!$B$3</f>
        <v>45483</v>
      </c>
      <c r="P280">
        <v>2024</v>
      </c>
    </row>
    <row r="281" spans="1:16">
      <c r="A281" t="s">
        <v>147</v>
      </c>
      <c r="B281" t="s">
        <v>240</v>
      </c>
      <c r="C281" t="s">
        <v>201</v>
      </c>
      <c r="D281" t="s">
        <v>232</v>
      </c>
      <c r="E281" t="str">
        <f>'Sardina comun'!D117</f>
        <v>AG SIPACERVAL RAG 44-14</v>
      </c>
      <c r="F281" s="28">
        <v>45292</v>
      </c>
      <c r="G281" s="28">
        <v>45657</v>
      </c>
      <c r="H281">
        <f>'Sardina comun'!F117</f>
        <v>10744.385</v>
      </c>
      <c r="I281">
        <f>'Sardina comun'!G117</f>
        <v>50</v>
      </c>
      <c r="J281">
        <f>'Sardina comun'!H117</f>
        <v>10794.385</v>
      </c>
      <c r="K281">
        <f>'Sardina comun'!I117</f>
        <v>8632.7259999999969</v>
      </c>
      <c r="L281">
        <f>'Sardina comun'!K117</f>
        <v>2161.6590000000033</v>
      </c>
      <c r="M281" s="36">
        <f>'Sardina comun'!L117</f>
        <v>0.79974227341344573</v>
      </c>
      <c r="N281" s="101" t="str">
        <f>'Sardina comun'!M117</f>
        <v>-</v>
      </c>
      <c r="O281" s="28">
        <f>RESUMEN!$B$3</f>
        <v>45483</v>
      </c>
      <c r="P281">
        <v>2024</v>
      </c>
    </row>
    <row r="282" spans="1:16">
      <c r="A282" t="s">
        <v>147</v>
      </c>
      <c r="B282" t="s">
        <v>240</v>
      </c>
      <c r="C282" t="s">
        <v>201</v>
      </c>
      <c r="D282" t="s">
        <v>232</v>
      </c>
      <c r="E282" t="str">
        <f>'Sardina comun'!D118</f>
        <v>AG ARMAPES. RAG 264-10</v>
      </c>
      <c r="F282" s="28">
        <v>45292</v>
      </c>
      <c r="G282" s="28">
        <v>45657</v>
      </c>
      <c r="H282">
        <f>'Sardina comun'!F118</f>
        <v>2360.837</v>
      </c>
      <c r="I282">
        <f>'Sardina comun'!G118</f>
        <v>-754</v>
      </c>
      <c r="J282">
        <f>'Sardina comun'!H118</f>
        <v>1606.837</v>
      </c>
      <c r="K282">
        <f>'Sardina comun'!I118</f>
        <v>1061.69</v>
      </c>
      <c r="L282">
        <f>'Sardina comun'!K118</f>
        <v>545.14699999999993</v>
      </c>
      <c r="M282" s="36">
        <f>'Sardina comun'!L118</f>
        <v>0.66073285591506792</v>
      </c>
      <c r="N282" s="101">
        <f>'Sardina comun'!M118</f>
        <v>0</v>
      </c>
      <c r="O282" s="28">
        <f>RESUMEN!$B$3</f>
        <v>45483</v>
      </c>
      <c r="P282">
        <v>2024</v>
      </c>
    </row>
    <row r="283" spans="1:16">
      <c r="A283" t="s">
        <v>147</v>
      </c>
      <c r="B283" t="s">
        <v>240</v>
      </c>
      <c r="C283" t="s">
        <v>201</v>
      </c>
      <c r="D283" t="s">
        <v>232</v>
      </c>
      <c r="E283" t="str">
        <f>'Sardina comun'!D119</f>
        <v xml:space="preserve"> AG APACER. RAG 46-14</v>
      </c>
      <c r="F283" s="28">
        <v>45292</v>
      </c>
      <c r="G283" s="28">
        <v>45657</v>
      </c>
      <c r="H283">
        <f>'Sardina comun'!F119</f>
        <v>1583.5340000000001</v>
      </c>
      <c r="I283">
        <f>'Sardina comun'!G119</f>
        <v>0</v>
      </c>
      <c r="J283">
        <f>'Sardina comun'!H119</f>
        <v>1583.5340000000001</v>
      </c>
      <c r="K283">
        <f>'Sardina comun'!I119</f>
        <v>881.86800000000017</v>
      </c>
      <c r="L283">
        <f>'Sardina comun'!K119</f>
        <v>701.66599999999994</v>
      </c>
      <c r="M283" s="36">
        <f>'Sardina comun'!L119</f>
        <v>0.55689868357736561</v>
      </c>
      <c r="N283" s="101" t="str">
        <f>'Sardina comun'!M119</f>
        <v>-</v>
      </c>
      <c r="O283" s="28">
        <f>RESUMEN!$B$3</f>
        <v>45483</v>
      </c>
      <c r="P283">
        <v>2024</v>
      </c>
    </row>
    <row r="284" spans="1:16">
      <c r="A284" t="s">
        <v>147</v>
      </c>
      <c r="B284" t="s">
        <v>240</v>
      </c>
      <c r="C284" t="s">
        <v>201</v>
      </c>
      <c r="D284" t="s">
        <v>232</v>
      </c>
      <c r="E284" t="str">
        <f>'Sardina comun'!D120</f>
        <v xml:space="preserve"> STI DE AMARGO. RSU 14.01.0105</v>
      </c>
      <c r="F284" s="28">
        <v>45292</v>
      </c>
      <c r="G284" s="28">
        <v>45657</v>
      </c>
      <c r="H284">
        <f>'Sardina comun'!F120</f>
        <v>1842.9590000000001</v>
      </c>
      <c r="I284">
        <f>'Sardina comun'!G120</f>
        <v>0</v>
      </c>
      <c r="J284">
        <f>'Sardina comun'!H120</f>
        <v>1842.9590000000001</v>
      </c>
      <c r="K284">
        <f>'Sardina comun'!I120</f>
        <v>1845.5620000000004</v>
      </c>
      <c r="L284">
        <f>'Sardina comun'!K120</f>
        <v>-2.6030000000002929</v>
      </c>
      <c r="M284" s="36">
        <f>'Sardina comun'!L120</f>
        <v>1.0014124025548048</v>
      </c>
      <c r="N284" s="101" t="str">
        <f>'Sardina comun'!M120</f>
        <v>-</v>
      </c>
      <c r="O284" s="28">
        <f>RESUMEN!$B$3</f>
        <v>45483</v>
      </c>
      <c r="P284">
        <v>2024</v>
      </c>
    </row>
    <row r="285" spans="1:16">
      <c r="A285" t="s">
        <v>147</v>
      </c>
      <c r="B285" t="s">
        <v>240</v>
      </c>
      <c r="C285" t="s">
        <v>201</v>
      </c>
      <c r="D285" t="s">
        <v>232</v>
      </c>
      <c r="E285" t="str">
        <f>'Sardina comun'!D121</f>
        <v>STI DEL BALNEARIO DE NIEBLA. RSU 14.01.0127</v>
      </c>
      <c r="F285" s="28">
        <v>45292</v>
      </c>
      <c r="G285" s="28">
        <v>45657</v>
      </c>
      <c r="H285">
        <f>'Sardina comun'!F121</f>
        <v>687.24800000000005</v>
      </c>
      <c r="I285">
        <f>'Sardina comun'!G121</f>
        <v>-500</v>
      </c>
      <c r="J285">
        <f>'Sardina comun'!H121</f>
        <v>187.24800000000005</v>
      </c>
      <c r="K285">
        <f>'Sardina comun'!I121</f>
        <v>0.26</v>
      </c>
      <c r="L285">
        <f>'Sardina comun'!K121</f>
        <v>186.98800000000006</v>
      </c>
      <c r="M285" s="36">
        <f>'Sardina comun'!L121</f>
        <v>1.3885328548235492E-3</v>
      </c>
      <c r="N285" s="101" t="str">
        <f>'Sardina comun'!M121</f>
        <v>-</v>
      </c>
      <c r="O285" s="28">
        <f>RESUMEN!$B$3</f>
        <v>45483</v>
      </c>
      <c r="P285">
        <v>2024</v>
      </c>
    </row>
    <row r="286" spans="1:16">
      <c r="A286" t="s">
        <v>147</v>
      </c>
      <c r="B286" t="s">
        <v>240</v>
      </c>
      <c r="C286" t="s">
        <v>201</v>
      </c>
      <c r="D286" t="s">
        <v>232</v>
      </c>
      <c r="E286" t="str">
        <f>'Sardina comun'!D122</f>
        <v xml:space="preserve"> STI ARPAVAL. RSU 14.01.0514</v>
      </c>
      <c r="F286" s="28">
        <v>45292</v>
      </c>
      <c r="G286" s="28">
        <v>45657</v>
      </c>
      <c r="H286">
        <f>'Sardina comun'!F122</f>
        <v>670.43899999999996</v>
      </c>
      <c r="I286">
        <f>'Sardina comun'!G122</f>
        <v>-520.1</v>
      </c>
      <c r="J286">
        <f>'Sardina comun'!H122</f>
        <v>150.33899999999994</v>
      </c>
      <c r="K286">
        <f>'Sardina comun'!I122</f>
        <v>143.01300000000001</v>
      </c>
      <c r="L286">
        <f>'Sardina comun'!K122</f>
        <v>7.3259999999999366</v>
      </c>
      <c r="M286" s="36">
        <f>'Sardina comun'!L122</f>
        <v>0.95127012950731382</v>
      </c>
      <c r="N286" s="101">
        <f>'Sardina comun'!M122</f>
        <v>0</v>
      </c>
      <c r="O286" s="28">
        <f>RESUMEN!$B$3</f>
        <v>45483</v>
      </c>
      <c r="P286">
        <v>2024</v>
      </c>
    </row>
    <row r="287" spans="1:16">
      <c r="A287" t="s">
        <v>147</v>
      </c>
      <c r="B287" t="s">
        <v>240</v>
      </c>
      <c r="C287" t="s">
        <v>201</v>
      </c>
      <c r="D287" t="s">
        <v>232</v>
      </c>
      <c r="E287" t="str">
        <f>'Sardina comun'!D123</f>
        <v>CUOTA RESIDUAL XIV</v>
      </c>
      <c r="F287" s="28">
        <v>45292</v>
      </c>
      <c r="G287" s="28">
        <v>45657</v>
      </c>
      <c r="H287">
        <f>'Sardina comun'!F123</f>
        <v>268.90899999999999</v>
      </c>
      <c r="I287">
        <f>'Sardina comun'!G123</f>
        <v>0</v>
      </c>
      <c r="J287">
        <f>'Sardina comun'!H123</f>
        <v>268.90899999999999</v>
      </c>
      <c r="K287">
        <f>'Sardina comun'!I123</f>
        <v>266.97399999999999</v>
      </c>
      <c r="L287">
        <f>'Sardina comun'!K123</f>
        <v>1.9350000000000023</v>
      </c>
      <c r="M287" s="36">
        <f>'Sardina comun'!L123</f>
        <v>0.99280425720225052</v>
      </c>
      <c r="N287" s="101" t="str">
        <f>'Sardina comun'!M123</f>
        <v>-</v>
      </c>
      <c r="O287" s="28">
        <f>RESUMEN!$B$3</f>
        <v>45483</v>
      </c>
      <c r="P287">
        <v>2024</v>
      </c>
    </row>
    <row r="288" spans="1:16">
      <c r="A288" s="124" t="s">
        <v>147</v>
      </c>
      <c r="B288" s="124" t="s">
        <v>240</v>
      </c>
      <c r="C288" s="124" t="s">
        <v>201</v>
      </c>
      <c r="D288" s="127" t="s">
        <v>328</v>
      </c>
      <c r="E288" s="124" t="str">
        <f>'Sardina comun'!D125</f>
        <v>Total Región de Los Ríos</v>
      </c>
      <c r="F288" s="131">
        <v>45292</v>
      </c>
      <c r="G288" s="131">
        <v>45657</v>
      </c>
      <c r="H288" s="124">
        <f>'Sardina comun'!F125</f>
        <v>25945.998999999996</v>
      </c>
      <c r="I288" s="124">
        <f>'Sardina comun'!G125</f>
        <v>-3547.6169999999997</v>
      </c>
      <c r="J288" s="124">
        <f>'Sardina comun'!H125</f>
        <v>22398.381999999998</v>
      </c>
      <c r="K288" s="124">
        <f>'Sardina comun'!I125</f>
        <v>17303.722999999994</v>
      </c>
      <c r="L288" s="124">
        <f>'Sardina comun'!K125</f>
        <v>5094.6590000000033</v>
      </c>
      <c r="M288" s="129">
        <f>'Sardina comun'!L125</f>
        <v>0.77254343639643241</v>
      </c>
      <c r="N288" s="130" t="str">
        <f>'Sardina comun'!M125</f>
        <v>-</v>
      </c>
      <c r="O288" s="28">
        <f>RESUMEN!$B$3</f>
        <v>45483</v>
      </c>
      <c r="P288">
        <v>2024</v>
      </c>
    </row>
    <row r="289" spans="1:16">
      <c r="A289" t="s">
        <v>147</v>
      </c>
      <c r="B289" t="s">
        <v>240</v>
      </c>
      <c r="C289" t="s">
        <v>239</v>
      </c>
      <c r="D289" t="s">
        <v>232</v>
      </c>
      <c r="E289" t="str">
        <f>'Sardina comun'!D127</f>
        <v>ARMAR AG. RAG 320-10</v>
      </c>
      <c r="F289" s="28">
        <v>45292</v>
      </c>
      <c r="G289" s="28">
        <v>45657</v>
      </c>
      <c r="H289">
        <f>'Sardina comun'!F127</f>
        <v>701.60199999999998</v>
      </c>
      <c r="I289">
        <f>'Sardina comun'!G127</f>
        <v>-678.98500000000001</v>
      </c>
      <c r="J289">
        <f>'Sardina comun'!H127</f>
        <v>22.616999999999962</v>
      </c>
      <c r="K289">
        <f>'Sardina comun'!I127</f>
        <v>1</v>
      </c>
      <c r="L289">
        <f>'Sardina comun'!K127</f>
        <v>21.616999999999962</v>
      </c>
      <c r="M289" s="36">
        <f>'Sardina comun'!L127</f>
        <v>4.4214528894194707E-2</v>
      </c>
      <c r="N289" s="101" t="str">
        <f>'Sardina comun'!M127</f>
        <v>-</v>
      </c>
      <c r="O289" s="28">
        <f>RESUMEN!$B$3</f>
        <v>45483</v>
      </c>
      <c r="P289">
        <v>2024</v>
      </c>
    </row>
    <row r="290" spans="1:16">
      <c r="A290" t="s">
        <v>147</v>
      </c>
      <c r="B290" t="s">
        <v>240</v>
      </c>
      <c r="C290" t="s">
        <v>239</v>
      </c>
      <c r="D290" t="s">
        <v>232</v>
      </c>
      <c r="E290" t="str">
        <f>'Sardina comun'!D128</f>
        <v>ASOGFER AG. RAG 310-10</v>
      </c>
      <c r="F290" s="28">
        <v>45292</v>
      </c>
      <c r="G290" s="28">
        <v>45657</v>
      </c>
      <c r="H290">
        <f>'Sardina comun'!F128</f>
        <v>2503.607</v>
      </c>
      <c r="I290">
        <f>'Sardina comun'!G128</f>
        <v>-1600</v>
      </c>
      <c r="J290">
        <f>'Sardina comun'!H128</f>
        <v>903.60699999999997</v>
      </c>
      <c r="K290">
        <f>'Sardina comun'!I128</f>
        <v>0.67100000000000004</v>
      </c>
      <c r="L290">
        <f>'Sardina comun'!K128</f>
        <v>902.93599999999992</v>
      </c>
      <c r="M290" s="36">
        <f>'Sardina comun'!L128</f>
        <v>7.4257946208916049E-4</v>
      </c>
      <c r="N290" s="101" t="str">
        <f>'Sardina comun'!M128</f>
        <v>-</v>
      </c>
      <c r="O290" s="28">
        <f>RESUMEN!$B$3</f>
        <v>45483</v>
      </c>
      <c r="P290">
        <v>2024</v>
      </c>
    </row>
    <row r="291" spans="1:16">
      <c r="A291" t="s">
        <v>147</v>
      </c>
      <c r="B291" t="s">
        <v>240</v>
      </c>
      <c r="C291" t="s">
        <v>239</v>
      </c>
      <c r="D291" t="s">
        <v>232</v>
      </c>
      <c r="E291" t="str">
        <f>'Sardina comun'!D129</f>
        <v>AGARMAR.  RAG 156-10</v>
      </c>
      <c r="F291" s="28">
        <v>45292</v>
      </c>
      <c r="G291" s="28">
        <v>45657</v>
      </c>
      <c r="H291">
        <f>'Sardina comun'!F129</f>
        <v>2955.4740000000002</v>
      </c>
      <c r="I291">
        <f>'Sardina comun'!G129</f>
        <v>-2397</v>
      </c>
      <c r="J291">
        <f>'Sardina comun'!H129</f>
        <v>558.47400000000016</v>
      </c>
      <c r="K291">
        <f>'Sardina comun'!I129</f>
        <v>1.5299999999999998</v>
      </c>
      <c r="L291">
        <f>'Sardina comun'!K129</f>
        <v>556.94400000000019</v>
      </c>
      <c r="M291" s="36">
        <f>'Sardina comun'!L129</f>
        <v>2.7396082897323767E-3</v>
      </c>
      <c r="N291" s="101" t="str">
        <f>'Sardina comun'!M129</f>
        <v>-</v>
      </c>
      <c r="O291" s="28">
        <f>RESUMEN!$B$3</f>
        <v>45483</v>
      </c>
      <c r="P291">
        <v>2024</v>
      </c>
    </row>
    <row r="292" spans="1:16">
      <c r="A292" t="s">
        <v>147</v>
      </c>
      <c r="B292" t="s">
        <v>240</v>
      </c>
      <c r="C292" t="s">
        <v>239</v>
      </c>
      <c r="D292" t="s">
        <v>232</v>
      </c>
      <c r="E292" t="str">
        <f>'Sardina comun'!D130</f>
        <v>PESCA AUSTRAL. RAG 326-10</v>
      </c>
      <c r="F292" s="28">
        <v>45292</v>
      </c>
      <c r="G292" s="28">
        <v>45657</v>
      </c>
      <c r="H292">
        <f>'Sardina comun'!F130</f>
        <v>919.26599999999996</v>
      </c>
      <c r="I292">
        <f>'Sardina comun'!G130</f>
        <v>-869.26599999999996</v>
      </c>
      <c r="J292">
        <f>'Sardina comun'!H130</f>
        <v>50</v>
      </c>
      <c r="K292">
        <f>'Sardina comun'!I130</f>
        <v>0</v>
      </c>
      <c r="L292">
        <f>'Sardina comun'!K130</f>
        <v>50</v>
      </c>
      <c r="M292" s="36">
        <f>'Sardina comun'!L130</f>
        <v>0</v>
      </c>
      <c r="N292" s="101">
        <f>'Sardina comun'!M130</f>
        <v>0</v>
      </c>
      <c r="O292" s="28">
        <f>RESUMEN!$B$3</f>
        <v>45483</v>
      </c>
      <c r="P292">
        <v>2024</v>
      </c>
    </row>
    <row r="293" spans="1:16">
      <c r="A293" t="s">
        <v>147</v>
      </c>
      <c r="B293" t="s">
        <v>240</v>
      </c>
      <c r="C293" t="s">
        <v>239</v>
      </c>
      <c r="D293" t="s">
        <v>232</v>
      </c>
      <c r="E293" t="str">
        <f>'Sardina comun'!D131</f>
        <v>ASOGPESCA ANCUD. RAG 4266</v>
      </c>
      <c r="F293" s="28">
        <v>45292</v>
      </c>
      <c r="G293" s="28">
        <v>45657</v>
      </c>
      <c r="H293">
        <f>'Sardina comun'!F131</f>
        <v>965.93899999999996</v>
      </c>
      <c r="I293">
        <f>'Sardina comun'!G131</f>
        <v>-900</v>
      </c>
      <c r="J293">
        <f>'Sardina comun'!H131</f>
        <v>65.938999999999965</v>
      </c>
      <c r="K293">
        <f>'Sardina comun'!I131</f>
        <v>0</v>
      </c>
      <c r="L293">
        <f>'Sardina comun'!K131</f>
        <v>65.938999999999965</v>
      </c>
      <c r="M293" s="36">
        <f>'Sardina comun'!L131</f>
        <v>0</v>
      </c>
      <c r="N293" s="101" t="str">
        <f>'Sardina comun'!M131</f>
        <v>-</v>
      </c>
      <c r="O293" s="28">
        <f>RESUMEN!$B$3</f>
        <v>45483</v>
      </c>
      <c r="P293">
        <v>2024</v>
      </c>
    </row>
    <row r="294" spans="1:16">
      <c r="A294" t="s">
        <v>147</v>
      </c>
      <c r="B294" t="s">
        <v>240</v>
      </c>
      <c r="C294" t="s">
        <v>239</v>
      </c>
      <c r="D294" t="s">
        <v>232</v>
      </c>
      <c r="E294" t="str">
        <f>'Sardina comun'!D132</f>
        <v>AQUEPESCA. RAG 270-10</v>
      </c>
      <c r="F294" s="28">
        <v>45292</v>
      </c>
      <c r="G294" s="28">
        <v>45657</v>
      </c>
      <c r="H294">
        <f>'Sardina comun'!F132</f>
        <v>200.78200000000001</v>
      </c>
      <c r="I294">
        <f>'Sardina comun'!G132</f>
        <v>0</v>
      </c>
      <c r="J294">
        <f>'Sardina comun'!H132</f>
        <v>200.78200000000001</v>
      </c>
      <c r="K294">
        <f>'Sardina comun'!I132</f>
        <v>0</v>
      </c>
      <c r="L294">
        <f>'Sardina comun'!K132</f>
        <v>200.78200000000001</v>
      </c>
      <c r="M294" s="36">
        <f>'Sardina comun'!L132</f>
        <v>0</v>
      </c>
      <c r="N294" s="101" t="str">
        <f>'Sardina comun'!M132</f>
        <v>-</v>
      </c>
      <c r="O294" s="28">
        <f>RESUMEN!$B$3</f>
        <v>45483</v>
      </c>
      <c r="P294">
        <v>2024</v>
      </c>
    </row>
    <row r="295" spans="1:16">
      <c r="A295" t="s">
        <v>147</v>
      </c>
      <c r="B295" t="s">
        <v>240</v>
      </c>
      <c r="C295" t="s">
        <v>239</v>
      </c>
      <c r="D295" t="s">
        <v>232</v>
      </c>
      <c r="E295" t="str">
        <f>'Sardina comun'!D133</f>
        <v>STI CAMINO CHINQUIHUE. RSU 10.01.0942</v>
      </c>
      <c r="F295" s="28">
        <v>45292</v>
      </c>
      <c r="G295" s="28">
        <v>45657</v>
      </c>
      <c r="H295">
        <f>'Sardina comun'!F133</f>
        <v>484.13400000000001</v>
      </c>
      <c r="I295">
        <f>'Sardina comun'!G133</f>
        <v>-266</v>
      </c>
      <c r="J295">
        <f>'Sardina comun'!H133</f>
        <v>218.13400000000001</v>
      </c>
      <c r="K295">
        <f>'Sardina comun'!I133</f>
        <v>0</v>
      </c>
      <c r="L295">
        <f>'Sardina comun'!K133</f>
        <v>218.13400000000001</v>
      </c>
      <c r="M295" s="36">
        <f>'Sardina comun'!L133</f>
        <v>0.54943466065180302</v>
      </c>
      <c r="N295" s="101" t="str">
        <f>'Sardina comun'!M133</f>
        <v>-</v>
      </c>
      <c r="O295" s="28">
        <f>RESUMEN!$B$3</f>
        <v>45483</v>
      </c>
      <c r="P295">
        <v>2024</v>
      </c>
    </row>
    <row r="296" spans="1:16">
      <c r="A296" t="s">
        <v>147</v>
      </c>
      <c r="B296" t="s">
        <v>240</v>
      </c>
      <c r="C296" t="s">
        <v>239</v>
      </c>
      <c r="D296" t="s">
        <v>232</v>
      </c>
      <c r="E296" t="str">
        <f>'Sardina comun'!D134</f>
        <v xml:space="preserve">STI PECERCAL RSU 10.01.0948 </v>
      </c>
      <c r="F296" s="28">
        <v>45292</v>
      </c>
      <c r="G296" s="28">
        <v>45657</v>
      </c>
      <c r="H296">
        <f>'Sardina comun'!F134</f>
        <v>2520.2190000000001</v>
      </c>
      <c r="I296">
        <f>'Sardina comun'!G134</f>
        <v>-2363.7709999999997</v>
      </c>
      <c r="J296">
        <f>'Sardina comun'!H134</f>
        <v>156.44800000000032</v>
      </c>
      <c r="K296">
        <f>'Sardina comun'!I134</f>
        <v>2.2600000000000002</v>
      </c>
      <c r="L296">
        <f>'Sardina comun'!K134</f>
        <v>154.18800000000033</v>
      </c>
      <c r="M296" s="36">
        <f>'Sardina comun'!L134</f>
        <v>1.4445694416035972E-2</v>
      </c>
      <c r="N296" s="101" t="str">
        <f>'Sardina comun'!M134</f>
        <v>-</v>
      </c>
      <c r="O296" s="28">
        <f>RESUMEN!$B$3</f>
        <v>45483</v>
      </c>
      <c r="P296">
        <v>2024</v>
      </c>
    </row>
    <row r="297" spans="1:16">
      <c r="A297" t="s">
        <v>147</v>
      </c>
      <c r="B297" t="s">
        <v>240</v>
      </c>
      <c r="C297" t="s">
        <v>239</v>
      </c>
      <c r="D297" t="s">
        <v>232</v>
      </c>
      <c r="E297" t="str">
        <f>'Sardina comun'!D135</f>
        <v>ST PUERTO MONTT. RSU 10.01.0591</v>
      </c>
      <c r="F297" s="28">
        <v>45292</v>
      </c>
      <c r="G297" s="28">
        <v>45657</v>
      </c>
      <c r="H297">
        <f>'Sardina comun'!F135</f>
        <v>286.44600000000003</v>
      </c>
      <c r="I297">
        <f>'Sardina comun'!G135</f>
        <v>-280</v>
      </c>
      <c r="J297">
        <f>'Sardina comun'!H135</f>
        <v>6.4460000000000264</v>
      </c>
      <c r="K297">
        <f>'Sardina comun'!I135</f>
        <v>0</v>
      </c>
      <c r="L297">
        <f>'Sardina comun'!K135</f>
        <v>6.4460000000000264</v>
      </c>
      <c r="M297" s="36">
        <f>'Sardina comun'!L135</f>
        <v>0</v>
      </c>
      <c r="N297" s="101"/>
      <c r="O297" s="28">
        <f>RESUMEN!$B$3</f>
        <v>45483</v>
      </c>
      <c r="P297">
        <v>2024</v>
      </c>
    </row>
    <row r="298" spans="1:16">
      <c r="A298" t="s">
        <v>147</v>
      </c>
      <c r="B298" t="s">
        <v>240</v>
      </c>
      <c r="C298" t="s">
        <v>239</v>
      </c>
      <c r="D298" t="s">
        <v>232</v>
      </c>
      <c r="E298" t="str">
        <f>'Sardina comun'!D136</f>
        <v>STI PROVEEDORES MARITIMOS DE QUILLAIPE. RSU 10.01.0835</v>
      </c>
      <c r="F298" s="28">
        <v>45292</v>
      </c>
      <c r="G298" s="28">
        <v>45657</v>
      </c>
      <c r="H298">
        <f>'Sardina comun'!F136</f>
        <v>428.17099999999999</v>
      </c>
      <c r="I298">
        <f>'Sardina comun'!G136</f>
        <v>-420</v>
      </c>
      <c r="J298">
        <f>'Sardina comun'!H136</f>
        <v>8.1709999999999923</v>
      </c>
      <c r="K298">
        <f>'Sardina comun'!I136</f>
        <v>0</v>
      </c>
      <c r="L298">
        <f>'Sardina comun'!K136</f>
        <v>8.1709999999999923</v>
      </c>
      <c r="M298" s="36">
        <f>'Sardina comun'!L136</f>
        <v>0</v>
      </c>
      <c r="N298" s="101" t="str">
        <f>'Sardina comun'!M136</f>
        <v>-</v>
      </c>
      <c r="O298" s="28">
        <f>RESUMEN!$B$3</f>
        <v>45483</v>
      </c>
      <c r="P298">
        <v>2024</v>
      </c>
    </row>
    <row r="299" spans="1:16">
      <c r="A299" t="s">
        <v>147</v>
      </c>
      <c r="B299" t="s">
        <v>240</v>
      </c>
      <c r="C299" t="s">
        <v>239</v>
      </c>
      <c r="D299" t="s">
        <v>232</v>
      </c>
      <c r="E299" t="str">
        <f>'Sardina comun'!D137</f>
        <v>CUOTA RESIDUAL X</v>
      </c>
      <c r="F299" s="28">
        <v>45292</v>
      </c>
      <c r="G299" s="28">
        <v>45657</v>
      </c>
      <c r="H299">
        <f>'Sardina comun'!F137</f>
        <v>312.36500000000001</v>
      </c>
      <c r="I299">
        <f>'Sardina comun'!G137</f>
        <v>0</v>
      </c>
      <c r="J299">
        <f>'Sardina comun'!H137</f>
        <v>312.36500000000001</v>
      </c>
      <c r="K299">
        <f>'Sardina comun'!I137</f>
        <v>188.434</v>
      </c>
      <c r="L299">
        <f>'Sardina comun'!K137</f>
        <v>123.93100000000001</v>
      </c>
      <c r="M299" s="36">
        <f>'Sardina comun'!L137</f>
        <v>0.60324940374241665</v>
      </c>
      <c r="N299" s="101">
        <f>'Sardina comun'!M137</f>
        <v>0</v>
      </c>
      <c r="O299" s="28">
        <f>RESUMEN!$B$3</f>
        <v>45483</v>
      </c>
      <c r="P299">
        <v>2024</v>
      </c>
    </row>
    <row r="300" spans="1:16">
      <c r="A300" s="124" t="s">
        <v>147</v>
      </c>
      <c r="B300" s="124" t="s">
        <v>240</v>
      </c>
      <c r="C300" s="124" t="s">
        <v>239</v>
      </c>
      <c r="D300" s="124" t="s">
        <v>232</v>
      </c>
      <c r="E300" s="124" t="str">
        <f>'Sardina comun'!D138</f>
        <v xml:space="preserve">Total Región de Los Lagos </v>
      </c>
      <c r="F300" s="131">
        <v>45292</v>
      </c>
      <c r="G300" s="131">
        <v>45657</v>
      </c>
      <c r="H300" s="124">
        <f>'Sardina comun'!F138</f>
        <v>12278.005000000001</v>
      </c>
      <c r="I300" s="124">
        <f>'Sardina comun'!G138</f>
        <v>-9775.0220000000008</v>
      </c>
      <c r="J300" s="124">
        <f>'Sardina comun'!H138</f>
        <v>2502.9830000000002</v>
      </c>
      <c r="K300" s="124">
        <f>'Sardina comun'!I138</f>
        <v>193.89500000000001</v>
      </c>
      <c r="L300" s="124">
        <f>'Sardina comun'!K138</f>
        <v>2309.0880000000002</v>
      </c>
      <c r="M300" s="129">
        <f>'Sardina comun'!L138</f>
        <v>7.7465568084161981E-2</v>
      </c>
      <c r="N300" s="130" t="str">
        <f>'Sardina comun'!M138</f>
        <v>-</v>
      </c>
      <c r="O300" s="28">
        <f>RESUMEN!$B$3</f>
        <v>45483</v>
      </c>
      <c r="P300">
        <v>2024</v>
      </c>
    </row>
  </sheetData>
  <autoFilter ref="A1:Q300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N141"/>
  <sheetViews>
    <sheetView topLeftCell="B1" zoomScaleNormal="100" workbookViewId="0">
      <pane ySplit="5" topLeftCell="A87" activePane="bottomLeft" state="frozen"/>
      <selection activeCell="B1" sqref="B1"/>
      <selection pane="bottomLeft" activeCell="I101" sqref="I101"/>
    </sheetView>
  </sheetViews>
  <sheetFormatPr baseColWidth="10" defaultRowHeight="15"/>
  <cols>
    <col min="3" max="3" width="13.28515625" customWidth="1"/>
    <col min="4" max="4" width="47" customWidth="1"/>
    <col min="5" max="5" width="12.140625" customWidth="1"/>
    <col min="6" max="6" width="14.5703125" bestFit="1" customWidth="1"/>
    <col min="7" max="7" width="12.7109375" customWidth="1"/>
    <col min="8" max="8" width="13.7109375" bestFit="1" customWidth="1"/>
    <col min="12" max="12" width="13.42578125" bestFit="1" customWidth="1"/>
    <col min="14" max="14" width="11.42578125" customWidth="1"/>
    <col min="15" max="15" width="10.140625" customWidth="1"/>
  </cols>
  <sheetData>
    <row r="2" spans="2:13" ht="18.75">
      <c r="C2" s="170" t="s">
        <v>331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C3" s="171">
        <f>RESUMEN!B3</f>
        <v>45483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5" spans="2:13" ht="39" customHeight="1">
      <c r="C5" s="9" t="s">
        <v>37</v>
      </c>
      <c r="D5" s="9" t="s">
        <v>34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25" t="s">
        <v>176</v>
      </c>
      <c r="K5" s="9" t="s">
        <v>5</v>
      </c>
      <c r="L5" s="9" t="s">
        <v>6</v>
      </c>
      <c r="M5" s="10" t="s">
        <v>36</v>
      </c>
    </row>
    <row r="7" spans="2:13" ht="15" customHeight="1">
      <c r="B7">
        <v>1</v>
      </c>
      <c r="C7" s="173" t="s">
        <v>38</v>
      </c>
      <c r="D7" s="11" t="s">
        <v>123</v>
      </c>
      <c r="E7" s="1" t="s">
        <v>18</v>
      </c>
      <c r="F7" s="1">
        <v>12856.392</v>
      </c>
      <c r="G7" s="1">
        <f>-10017.562</f>
        <v>-10017.562</v>
      </c>
      <c r="H7" s="1">
        <f t="shared" ref="H7:H12" si="0">F7+G7</f>
        <v>2838.83</v>
      </c>
      <c r="I7" s="52"/>
      <c r="J7" s="1"/>
      <c r="K7" s="1">
        <f t="shared" ref="K7:K13" si="1">H7-(I7+J7)</f>
        <v>2838.83</v>
      </c>
      <c r="L7" s="3">
        <f>(G7/F7)*-1</f>
        <v>0.77918921576131162</v>
      </c>
      <c r="M7" s="77"/>
    </row>
    <row r="8" spans="2:13">
      <c r="B8">
        <v>2</v>
      </c>
      <c r="C8" s="174"/>
      <c r="D8" s="11" t="s">
        <v>262</v>
      </c>
      <c r="E8" s="1" t="s">
        <v>18</v>
      </c>
      <c r="F8" s="1">
        <v>224.52199999999999</v>
      </c>
      <c r="G8" s="1">
        <f>-174.945</f>
        <v>-174.94499999999999</v>
      </c>
      <c r="H8" s="1">
        <f t="shared" si="0"/>
        <v>49.576999999999998</v>
      </c>
      <c r="I8" s="1"/>
      <c r="J8" s="1"/>
      <c r="K8" s="1">
        <f t="shared" si="1"/>
        <v>49.576999999999998</v>
      </c>
      <c r="L8" s="3">
        <f>(G8/F8)*-1</f>
        <v>0.77918867638806</v>
      </c>
      <c r="M8" s="77"/>
    </row>
    <row r="9" spans="2:13">
      <c r="B9">
        <v>3</v>
      </c>
      <c r="C9" s="174"/>
      <c r="D9" s="12" t="s">
        <v>249</v>
      </c>
      <c r="E9" s="1" t="s">
        <v>18</v>
      </c>
      <c r="F9" s="1">
        <v>9.9139999999999997</v>
      </c>
      <c r="G9" s="1"/>
      <c r="H9" s="1">
        <f t="shared" si="0"/>
        <v>9.9139999999999997</v>
      </c>
      <c r="I9" s="1"/>
      <c r="J9" s="1"/>
      <c r="K9" s="1">
        <f t="shared" si="1"/>
        <v>9.9139999999999997</v>
      </c>
      <c r="L9" s="3">
        <f t="shared" ref="L9:L13" si="2">I9/H9</f>
        <v>0</v>
      </c>
      <c r="M9" s="1" t="s">
        <v>263</v>
      </c>
    </row>
    <row r="10" spans="2:13">
      <c r="B10">
        <v>4</v>
      </c>
      <c r="C10" s="174"/>
      <c r="D10" s="12" t="s">
        <v>250</v>
      </c>
      <c r="E10" s="1" t="s">
        <v>18</v>
      </c>
      <c r="F10" s="1">
        <v>3.3000000000000002E-2</v>
      </c>
      <c r="G10" s="1"/>
      <c r="H10" s="1">
        <f t="shared" si="0"/>
        <v>3.3000000000000002E-2</v>
      </c>
      <c r="I10" s="1"/>
      <c r="J10" s="1"/>
      <c r="K10" s="1">
        <f t="shared" si="1"/>
        <v>3.3000000000000002E-2</v>
      </c>
      <c r="L10" s="3">
        <f t="shared" si="2"/>
        <v>0</v>
      </c>
      <c r="M10" s="1" t="s">
        <v>263</v>
      </c>
    </row>
    <row r="11" spans="2:13">
      <c r="B11">
        <v>5</v>
      </c>
      <c r="C11" s="174"/>
      <c r="D11" s="34" t="s">
        <v>124</v>
      </c>
      <c r="E11" s="1" t="s">
        <v>18</v>
      </c>
      <c r="F11" s="1">
        <v>0.19800000000000001</v>
      </c>
      <c r="G11" s="1"/>
      <c r="H11" s="1">
        <f t="shared" si="0"/>
        <v>0.19800000000000001</v>
      </c>
      <c r="I11" s="1"/>
      <c r="J11" s="1"/>
      <c r="K11" s="1">
        <f t="shared" si="1"/>
        <v>0.19800000000000001</v>
      </c>
      <c r="L11" s="3">
        <f t="shared" si="2"/>
        <v>0</v>
      </c>
      <c r="M11" s="1" t="s">
        <v>263</v>
      </c>
    </row>
    <row r="12" spans="2:13">
      <c r="B12">
        <v>6</v>
      </c>
      <c r="C12" s="174"/>
      <c r="D12" s="11" t="s">
        <v>125</v>
      </c>
      <c r="E12" s="1" t="s">
        <v>18</v>
      </c>
      <c r="F12" s="1">
        <v>55.941000000000003</v>
      </c>
      <c r="G12" s="1"/>
      <c r="H12" s="1">
        <f t="shared" si="0"/>
        <v>55.941000000000003</v>
      </c>
      <c r="I12" s="52"/>
      <c r="J12" s="1"/>
      <c r="K12" s="1">
        <f t="shared" si="1"/>
        <v>55.941000000000003</v>
      </c>
      <c r="L12" s="3">
        <f t="shared" si="2"/>
        <v>0</v>
      </c>
      <c r="M12" s="66" t="s">
        <v>263</v>
      </c>
    </row>
    <row r="13" spans="2:13">
      <c r="C13" s="174"/>
      <c r="D13" s="34" t="s">
        <v>221</v>
      </c>
      <c r="E13" s="1" t="s">
        <v>18</v>
      </c>
      <c r="F13" s="2">
        <f>SUM(F7:F12)</f>
        <v>13147.000000000002</v>
      </c>
      <c r="G13" s="1">
        <f>SUM(G7:G12)</f>
        <v>-10192.507</v>
      </c>
      <c r="H13" s="1">
        <f>SUM(H7:H12)</f>
        <v>2954.4929999999999</v>
      </c>
      <c r="I13" s="1">
        <f>SUM(I7:I12)</f>
        <v>0</v>
      </c>
      <c r="J13" s="1">
        <f>SUM(J7:J12)</f>
        <v>0</v>
      </c>
      <c r="K13" s="1">
        <f t="shared" si="1"/>
        <v>2954.4929999999999</v>
      </c>
      <c r="L13" s="32">
        <f t="shared" si="2"/>
        <v>0</v>
      </c>
      <c r="M13" s="27" t="s">
        <v>263</v>
      </c>
    </row>
    <row r="15" spans="2:13" ht="15.75" customHeight="1">
      <c r="C15" s="175" t="s">
        <v>39</v>
      </c>
      <c r="D15" s="13" t="s">
        <v>236</v>
      </c>
      <c r="E15" s="1" t="s">
        <v>18</v>
      </c>
      <c r="F15" s="1">
        <v>85</v>
      </c>
      <c r="G15" s="1"/>
      <c r="H15" s="1">
        <f>F15+G15</f>
        <v>85</v>
      </c>
      <c r="I15" s="52"/>
      <c r="J15" s="1"/>
      <c r="K15" s="1">
        <f>H15-(I15+J15)</f>
        <v>85</v>
      </c>
      <c r="L15" s="3">
        <f>I15/H15</f>
        <v>0</v>
      </c>
      <c r="M15" s="1" t="s">
        <v>263</v>
      </c>
    </row>
    <row r="16" spans="2:13" ht="18.75" customHeight="1">
      <c r="C16" s="176"/>
      <c r="D16" s="13" t="s">
        <v>222</v>
      </c>
      <c r="E16" s="1" t="s">
        <v>18</v>
      </c>
      <c r="F16" s="1">
        <f>F15</f>
        <v>85</v>
      </c>
      <c r="G16" s="1">
        <f>G15</f>
        <v>0</v>
      </c>
      <c r="H16" s="1">
        <f>F16+G16</f>
        <v>85</v>
      </c>
      <c r="I16" s="1">
        <f>I15</f>
        <v>0</v>
      </c>
      <c r="J16" s="1">
        <f>J15</f>
        <v>0</v>
      </c>
      <c r="K16" s="1">
        <f>H16-(I16+J16)</f>
        <v>85</v>
      </c>
      <c r="L16" s="32">
        <f>I16/H16</f>
        <v>0</v>
      </c>
      <c r="M16" s="1" t="s">
        <v>263</v>
      </c>
    </row>
    <row r="18" spans="2:13" ht="15" customHeight="1">
      <c r="B18">
        <v>1</v>
      </c>
      <c r="C18" s="177" t="s">
        <v>40</v>
      </c>
      <c r="D18" s="11" t="s">
        <v>120</v>
      </c>
      <c r="E18" s="1" t="s">
        <v>18</v>
      </c>
      <c r="F18" s="1">
        <v>821.73699999999997</v>
      </c>
      <c r="G18" s="1"/>
      <c r="H18" s="1">
        <f>F18+G18</f>
        <v>821.73699999999997</v>
      </c>
      <c r="I18" s="52"/>
      <c r="J18" s="1"/>
      <c r="K18" s="1">
        <f>H18-(I18+J18)</f>
        <v>821.73699999999997</v>
      </c>
      <c r="L18" s="3">
        <f>(G18/F18)*-1</f>
        <v>0</v>
      </c>
      <c r="M18" s="1" t="s">
        <v>263</v>
      </c>
    </row>
    <row r="19" spans="2:13">
      <c r="B19">
        <v>2</v>
      </c>
      <c r="C19" s="177"/>
      <c r="D19" s="11" t="s">
        <v>121</v>
      </c>
      <c r="E19" s="1" t="s">
        <v>18</v>
      </c>
      <c r="F19" s="1">
        <v>445.54399999999998</v>
      </c>
      <c r="G19" s="1">
        <f>-347.239</f>
        <v>-347.23899999999998</v>
      </c>
      <c r="H19" s="1">
        <f>F19+G19</f>
        <v>98.305000000000007</v>
      </c>
      <c r="I19" s="1"/>
      <c r="J19" s="1"/>
      <c r="K19" s="1">
        <f t="shared" ref="K19:K88" si="3">H19-(I19+J19)</f>
        <v>98.305000000000007</v>
      </c>
      <c r="L19" s="3">
        <f>(G19/F19)*-1</f>
        <v>0.77935961431418666</v>
      </c>
      <c r="M19" s="1" t="s">
        <v>263</v>
      </c>
    </row>
    <row r="20" spans="2:13">
      <c r="B20">
        <v>3</v>
      </c>
      <c r="C20" s="177"/>
      <c r="D20" s="11" t="s">
        <v>122</v>
      </c>
      <c r="E20" s="1" t="s">
        <v>18</v>
      </c>
      <c r="F20" s="1">
        <v>137.71899999999999</v>
      </c>
      <c r="G20" s="1"/>
      <c r="H20" s="1">
        <f>F20+G20</f>
        <v>137.71899999999999</v>
      </c>
      <c r="I20" s="1"/>
      <c r="J20" s="1"/>
      <c r="K20" s="1">
        <f t="shared" si="3"/>
        <v>137.71899999999999</v>
      </c>
      <c r="L20" s="3">
        <f>I20/H20</f>
        <v>0</v>
      </c>
      <c r="M20" s="1" t="s">
        <v>263</v>
      </c>
    </row>
    <row r="21" spans="2:13">
      <c r="C21" s="177"/>
      <c r="D21" s="11" t="s">
        <v>223</v>
      </c>
      <c r="E21" s="1" t="s">
        <v>18</v>
      </c>
      <c r="F21" s="1">
        <f>SUM(F18:F20)</f>
        <v>1405</v>
      </c>
      <c r="G21" s="1">
        <f>SUM(G18:G20)</f>
        <v>-347.23899999999998</v>
      </c>
      <c r="H21" s="1">
        <f>F21+G21</f>
        <v>1057.761</v>
      </c>
      <c r="I21" s="1">
        <f>SUM(I18:I20)</f>
        <v>0</v>
      </c>
      <c r="J21" s="1"/>
      <c r="K21" s="1">
        <f t="shared" si="3"/>
        <v>1057.761</v>
      </c>
      <c r="L21" s="32">
        <f>I21/H21</f>
        <v>0</v>
      </c>
      <c r="M21" s="1" t="s">
        <v>263</v>
      </c>
    </row>
    <row r="23" spans="2:13" ht="15" customHeight="1">
      <c r="B23">
        <v>1</v>
      </c>
      <c r="C23" s="166" t="s">
        <v>41</v>
      </c>
      <c r="D23" s="12" t="s">
        <v>46</v>
      </c>
      <c r="E23" s="1" t="s">
        <v>18</v>
      </c>
      <c r="F23" s="2">
        <v>186.298</v>
      </c>
      <c r="G23" s="1">
        <f>-57.6</f>
        <v>-57.6</v>
      </c>
      <c r="H23" s="1">
        <f t="shared" ref="H23:H30" si="4">F23+G23</f>
        <v>128.69800000000001</v>
      </c>
      <c r="I23" s="145">
        <v>6.88</v>
      </c>
      <c r="J23" s="1"/>
      <c r="K23" s="1">
        <f t="shared" si="3"/>
        <v>121.81800000000001</v>
      </c>
      <c r="L23" s="3">
        <f>I23/H23</f>
        <v>5.3458484203328722E-2</v>
      </c>
      <c r="M23" s="27"/>
    </row>
    <row r="24" spans="2:13">
      <c r="B24">
        <v>2</v>
      </c>
      <c r="C24" s="167"/>
      <c r="D24" s="11" t="s">
        <v>164</v>
      </c>
      <c r="E24" s="1" t="s">
        <v>18</v>
      </c>
      <c r="F24" s="2">
        <v>205.846</v>
      </c>
      <c r="G24" s="1"/>
      <c r="H24" s="1">
        <f t="shared" si="4"/>
        <v>205.846</v>
      </c>
      <c r="I24" s="145">
        <v>17.170999999999999</v>
      </c>
      <c r="J24" s="1"/>
      <c r="K24" s="1">
        <f t="shared" si="3"/>
        <v>188.67500000000001</v>
      </c>
      <c r="L24" s="3">
        <f>I24/H24</f>
        <v>8.3416729011008231E-2</v>
      </c>
      <c r="M24" s="1" t="s">
        <v>263</v>
      </c>
    </row>
    <row r="25" spans="2:13">
      <c r="B25">
        <v>3</v>
      </c>
      <c r="C25" s="167"/>
      <c r="D25" s="11" t="s">
        <v>47</v>
      </c>
      <c r="E25" s="1" t="s">
        <v>18</v>
      </c>
      <c r="F25" s="2">
        <v>923.11</v>
      </c>
      <c r="G25" s="1"/>
      <c r="H25" s="1">
        <f t="shared" si="4"/>
        <v>923.11</v>
      </c>
      <c r="I25" s="145">
        <v>116.16199999999999</v>
      </c>
      <c r="J25" s="1"/>
      <c r="K25" s="1">
        <f t="shared" si="3"/>
        <v>806.94799999999998</v>
      </c>
      <c r="L25" s="3">
        <f t="shared" ref="L25:L94" si="5">I25/H25</f>
        <v>0.12583765748394016</v>
      </c>
      <c r="M25" s="1" t="s">
        <v>263</v>
      </c>
    </row>
    <row r="26" spans="2:13">
      <c r="B26">
        <v>4</v>
      </c>
      <c r="C26" s="167"/>
      <c r="D26" s="11" t="s">
        <v>48</v>
      </c>
      <c r="E26" s="1" t="s">
        <v>18</v>
      </c>
      <c r="F26" s="2">
        <v>1987.729</v>
      </c>
      <c r="G26" s="1"/>
      <c r="H26" s="1">
        <f t="shared" si="4"/>
        <v>1987.729</v>
      </c>
      <c r="I26" s="145">
        <v>289.899</v>
      </c>
      <c r="J26" s="1"/>
      <c r="K26" s="1">
        <f t="shared" si="3"/>
        <v>1697.83</v>
      </c>
      <c r="L26" s="3">
        <f t="shared" si="5"/>
        <v>0.14584432787366888</v>
      </c>
      <c r="M26" s="1" t="s">
        <v>263</v>
      </c>
    </row>
    <row r="27" spans="2:13">
      <c r="B27">
        <v>5</v>
      </c>
      <c r="C27" s="167"/>
      <c r="D27" s="12" t="s">
        <v>49</v>
      </c>
      <c r="E27" s="1" t="s">
        <v>18</v>
      </c>
      <c r="F27" s="2">
        <v>2612.1320000000001</v>
      </c>
      <c r="G27" s="1">
        <f>-453-241-200-487</f>
        <v>-1381</v>
      </c>
      <c r="H27" s="1">
        <f t="shared" si="4"/>
        <v>1231.1320000000001</v>
      </c>
      <c r="I27" s="145">
        <v>458.541</v>
      </c>
      <c r="J27" s="1"/>
      <c r="K27" s="1">
        <f t="shared" si="3"/>
        <v>772.59100000000012</v>
      </c>
      <c r="L27" s="3">
        <f>(G27/F27)*-1</f>
        <v>0.52868691168746451</v>
      </c>
      <c r="M27" s="27"/>
    </row>
    <row r="28" spans="2:13">
      <c r="B28">
        <v>6</v>
      </c>
      <c r="C28" s="167"/>
      <c r="D28" s="11" t="s">
        <v>50</v>
      </c>
      <c r="E28" s="1" t="s">
        <v>18</v>
      </c>
      <c r="F28" s="2">
        <v>4515.1570000000002</v>
      </c>
      <c r="G28" s="1">
        <f>-150</f>
        <v>-150</v>
      </c>
      <c r="H28" s="1">
        <f t="shared" si="4"/>
        <v>4365.1570000000002</v>
      </c>
      <c r="I28" s="145">
        <v>1756.5420000000001</v>
      </c>
      <c r="J28" s="1"/>
      <c r="K28" s="1">
        <f t="shared" si="3"/>
        <v>2608.6149999999998</v>
      </c>
      <c r="L28" s="3">
        <f t="shared" si="5"/>
        <v>0.40240064675795167</v>
      </c>
      <c r="M28" s="1" t="s">
        <v>263</v>
      </c>
    </row>
    <row r="29" spans="2:13">
      <c r="B29">
        <v>7</v>
      </c>
      <c r="C29" s="167"/>
      <c r="D29" s="11" t="s">
        <v>51</v>
      </c>
      <c r="E29" s="1" t="s">
        <v>18</v>
      </c>
      <c r="F29" s="2">
        <v>7507.3050000000003</v>
      </c>
      <c r="G29" s="1">
        <f>-5+100</f>
        <v>95</v>
      </c>
      <c r="H29" s="1">
        <f t="shared" si="4"/>
        <v>7602.3050000000003</v>
      </c>
      <c r="I29" s="145">
        <v>6564.2730000000001</v>
      </c>
      <c r="J29" s="1"/>
      <c r="K29" s="1">
        <f t="shared" si="3"/>
        <v>1038.0320000000002</v>
      </c>
      <c r="L29" s="3">
        <f t="shared" si="5"/>
        <v>0.86345825377961027</v>
      </c>
      <c r="M29" s="1" t="s">
        <v>263</v>
      </c>
    </row>
    <row r="30" spans="2:13">
      <c r="B30">
        <v>8</v>
      </c>
      <c r="C30" s="167"/>
      <c r="D30" s="11" t="s">
        <v>52</v>
      </c>
      <c r="E30" s="1" t="s">
        <v>18</v>
      </c>
      <c r="F30" s="2">
        <v>2600.096</v>
      </c>
      <c r="G30" s="1">
        <f>-20</f>
        <v>-20</v>
      </c>
      <c r="H30" s="1">
        <f t="shared" si="4"/>
        <v>2580.096</v>
      </c>
      <c r="I30" s="145">
        <v>1661.049</v>
      </c>
      <c r="J30" s="1"/>
      <c r="K30" s="1">
        <f t="shared" si="3"/>
        <v>919.04700000000003</v>
      </c>
      <c r="L30" s="3">
        <f t="shared" si="5"/>
        <v>0.64379348675398129</v>
      </c>
      <c r="M30" s="1" t="s">
        <v>263</v>
      </c>
    </row>
    <row r="31" spans="2:13">
      <c r="B31">
        <v>9</v>
      </c>
      <c r="C31" s="167"/>
      <c r="D31" s="11" t="s">
        <v>53</v>
      </c>
      <c r="E31" s="1" t="s">
        <v>18</v>
      </c>
      <c r="F31" s="2">
        <v>3101.04</v>
      </c>
      <c r="G31" s="1"/>
      <c r="H31" s="1">
        <f t="shared" ref="H31:H50" si="6">F31+G31</f>
        <v>3101.04</v>
      </c>
      <c r="I31" s="145">
        <v>439.71300000000002</v>
      </c>
      <c r="J31" s="1"/>
      <c r="K31" s="1">
        <f t="shared" si="3"/>
        <v>2661.3269999999998</v>
      </c>
      <c r="L31" s="3">
        <f t="shared" si="5"/>
        <v>0.14179533317854656</v>
      </c>
      <c r="M31" s="1" t="s">
        <v>263</v>
      </c>
    </row>
    <row r="32" spans="2:13">
      <c r="B32">
        <v>10</v>
      </c>
      <c r="C32" s="167"/>
      <c r="D32" s="11" t="s">
        <v>54</v>
      </c>
      <c r="E32" s="1" t="s">
        <v>18</v>
      </c>
      <c r="F32" s="2">
        <v>255.70500000000001</v>
      </c>
      <c r="G32" s="1"/>
      <c r="H32" s="1">
        <f t="shared" si="6"/>
        <v>255.70500000000001</v>
      </c>
      <c r="I32" s="145">
        <v>53.231000000000002</v>
      </c>
      <c r="J32" s="1"/>
      <c r="K32" s="1">
        <f t="shared" si="3"/>
        <v>202.47400000000002</v>
      </c>
      <c r="L32" s="3">
        <f t="shared" si="5"/>
        <v>0.2081734811599304</v>
      </c>
      <c r="M32" s="1" t="s">
        <v>263</v>
      </c>
    </row>
    <row r="33" spans="2:13">
      <c r="B33">
        <v>11</v>
      </c>
      <c r="C33" s="167"/>
      <c r="D33" s="11" t="s">
        <v>321</v>
      </c>
      <c r="E33" s="1" t="s">
        <v>18</v>
      </c>
      <c r="F33" s="2">
        <v>1021.377</v>
      </c>
      <c r="G33" s="1"/>
      <c r="H33" s="1">
        <f t="shared" si="6"/>
        <v>1021.377</v>
      </c>
      <c r="I33" s="145">
        <v>751.09899999999993</v>
      </c>
      <c r="J33" s="1"/>
      <c r="K33" s="1">
        <f t="shared" si="3"/>
        <v>270.27800000000002</v>
      </c>
      <c r="L33" s="3">
        <f t="shared" si="5"/>
        <v>0.73537880723768012</v>
      </c>
      <c r="M33" s="1"/>
    </row>
    <row r="34" spans="2:13">
      <c r="B34">
        <v>12</v>
      </c>
      <c r="C34" s="167"/>
      <c r="D34" s="11" t="s">
        <v>55</v>
      </c>
      <c r="E34" s="1" t="s">
        <v>18</v>
      </c>
      <c r="F34" s="2">
        <v>2546.569</v>
      </c>
      <c r="G34" s="1">
        <f>-75</f>
        <v>-75</v>
      </c>
      <c r="H34" s="1">
        <f t="shared" si="6"/>
        <v>2471.569</v>
      </c>
      <c r="I34" s="145">
        <f>1136.253+222.072</f>
        <v>1358.3249999999998</v>
      </c>
      <c r="J34" s="1"/>
      <c r="K34" s="1">
        <f t="shared" si="3"/>
        <v>1113.2440000000001</v>
      </c>
      <c r="L34" s="3">
        <f t="shared" si="5"/>
        <v>0.54958004409344829</v>
      </c>
      <c r="M34" s="1" t="s">
        <v>263</v>
      </c>
    </row>
    <row r="35" spans="2:13">
      <c r="B35">
        <v>13</v>
      </c>
      <c r="C35" s="167"/>
      <c r="D35" s="11" t="s">
        <v>258</v>
      </c>
      <c r="E35" s="1" t="s">
        <v>18</v>
      </c>
      <c r="F35" s="2">
        <v>3980.875</v>
      </c>
      <c r="G35" s="1">
        <f>174.945-200+100</f>
        <v>74.944999999999993</v>
      </c>
      <c r="H35" s="1">
        <f t="shared" si="6"/>
        <v>4055.82</v>
      </c>
      <c r="I35" s="145">
        <v>1798.674</v>
      </c>
      <c r="J35" s="1"/>
      <c r="K35" s="1">
        <f t="shared" si="3"/>
        <v>2257.1460000000002</v>
      </c>
      <c r="L35" s="3">
        <f t="shared" si="5"/>
        <v>0.4434797402251579</v>
      </c>
      <c r="M35" s="1" t="s">
        <v>263</v>
      </c>
    </row>
    <row r="36" spans="2:13">
      <c r="B36">
        <v>14</v>
      </c>
      <c r="C36" s="167"/>
      <c r="D36" s="11" t="s">
        <v>174</v>
      </c>
      <c r="E36" s="1" t="s">
        <v>18</v>
      </c>
      <c r="F36" s="2">
        <v>2208.7460000000001</v>
      </c>
      <c r="G36" s="1">
        <f>487+246</f>
        <v>733</v>
      </c>
      <c r="H36" s="1">
        <f t="shared" si="6"/>
        <v>2941.7460000000001</v>
      </c>
      <c r="I36" s="145">
        <v>1540.1290000000001</v>
      </c>
      <c r="J36" s="1"/>
      <c r="K36" s="1">
        <f t="shared" si="3"/>
        <v>1401.617</v>
      </c>
      <c r="L36" s="3">
        <f t="shared" si="5"/>
        <v>0.52354248123393388</v>
      </c>
      <c r="M36" s="1" t="s">
        <v>263</v>
      </c>
    </row>
    <row r="37" spans="2:13">
      <c r="B37">
        <v>15</v>
      </c>
      <c r="C37" s="167"/>
      <c r="D37" s="11" t="s">
        <v>259</v>
      </c>
      <c r="E37" s="1" t="s">
        <v>18</v>
      </c>
      <c r="F37" s="2">
        <v>2061.63</v>
      </c>
      <c r="G37" s="1">
        <f>35.1+50-200+10</f>
        <v>-104.9</v>
      </c>
      <c r="H37" s="1">
        <f t="shared" si="6"/>
        <v>1956.73</v>
      </c>
      <c r="I37" s="145">
        <v>1347.403</v>
      </c>
      <c r="J37" s="1"/>
      <c r="K37" s="1">
        <f t="shared" ref="K37:K38" si="7">H37-(I37+J37)</f>
        <v>609.327</v>
      </c>
      <c r="L37" s="3">
        <f t="shared" ref="L37:L38" si="8">I37/H37</f>
        <v>0.68859934686952207</v>
      </c>
      <c r="M37" s="1" t="s">
        <v>263</v>
      </c>
    </row>
    <row r="38" spans="2:13">
      <c r="B38">
        <v>16</v>
      </c>
      <c r="C38" s="167"/>
      <c r="D38" s="11" t="s">
        <v>260</v>
      </c>
      <c r="E38" s="1" t="s">
        <v>18</v>
      </c>
      <c r="F38" s="2">
        <v>242.02</v>
      </c>
      <c r="G38" s="1">
        <f>1770+57.6</f>
        <v>1827.6</v>
      </c>
      <c r="H38" s="1">
        <f t="shared" si="6"/>
        <v>2069.62</v>
      </c>
      <c r="I38" s="145">
        <v>2267.672</v>
      </c>
      <c r="J38" s="1"/>
      <c r="K38" s="1">
        <f t="shared" si="7"/>
        <v>-198.05200000000013</v>
      </c>
      <c r="L38" s="3">
        <f t="shared" si="8"/>
        <v>1.0956948618586988</v>
      </c>
      <c r="M38" s="1" t="s">
        <v>263</v>
      </c>
    </row>
    <row r="39" spans="2:13">
      <c r="B39">
        <v>17</v>
      </c>
      <c r="C39" s="167"/>
      <c r="D39" s="11" t="s">
        <v>56</v>
      </c>
      <c r="E39" s="1" t="s">
        <v>18</v>
      </c>
      <c r="F39" s="2">
        <v>749.59100000000001</v>
      </c>
      <c r="G39" s="1">
        <f>-100</f>
        <v>-100</v>
      </c>
      <c r="H39" s="1">
        <f t="shared" si="6"/>
        <v>649.59100000000001</v>
      </c>
      <c r="I39" s="145">
        <v>179.97699999999995</v>
      </c>
      <c r="J39" s="1"/>
      <c r="K39" s="1">
        <f t="shared" si="3"/>
        <v>469.61400000000003</v>
      </c>
      <c r="L39" s="3">
        <f t="shared" si="5"/>
        <v>0.27706202826085946</v>
      </c>
      <c r="M39" s="1" t="s">
        <v>263</v>
      </c>
    </row>
    <row r="40" spans="2:13">
      <c r="B40">
        <v>18</v>
      </c>
      <c r="C40" s="167"/>
      <c r="D40" s="11" t="s">
        <v>247</v>
      </c>
      <c r="E40" s="1" t="s">
        <v>18</v>
      </c>
      <c r="F40" s="2">
        <v>2831.2080000000001</v>
      </c>
      <c r="G40" s="1">
        <f>-50-241-250-250-435</f>
        <v>-1226</v>
      </c>
      <c r="H40" s="1">
        <f t="shared" si="6"/>
        <v>1605.2080000000001</v>
      </c>
      <c r="I40" s="145">
        <v>822.18700000000001</v>
      </c>
      <c r="J40" s="1"/>
      <c r="K40" s="1">
        <f t="shared" si="3"/>
        <v>783.02100000000007</v>
      </c>
      <c r="L40" s="3">
        <f t="shared" si="5"/>
        <v>0.5121996650901316</v>
      </c>
      <c r="M40" s="1" t="s">
        <v>263</v>
      </c>
    </row>
    <row r="41" spans="2:13">
      <c r="B41">
        <v>19</v>
      </c>
      <c r="C41" s="167"/>
      <c r="D41" s="11" t="s">
        <v>57</v>
      </c>
      <c r="E41" s="1" t="s">
        <v>18</v>
      </c>
      <c r="F41" s="2">
        <v>49.139000000000003</v>
      </c>
      <c r="G41" s="1"/>
      <c r="H41" s="1">
        <f t="shared" si="6"/>
        <v>49.139000000000003</v>
      </c>
      <c r="I41" s="145">
        <v>26.437000000000001</v>
      </c>
      <c r="J41" s="1"/>
      <c r="K41" s="1">
        <f t="shared" si="3"/>
        <v>22.702000000000002</v>
      </c>
      <c r="L41" s="3">
        <f t="shared" si="5"/>
        <v>0.53800443639471707</v>
      </c>
      <c r="M41" s="1" t="s">
        <v>263</v>
      </c>
    </row>
    <row r="42" spans="2:13">
      <c r="B42">
        <v>20</v>
      </c>
      <c r="C42" s="167"/>
      <c r="D42" s="11" t="s">
        <v>58</v>
      </c>
      <c r="E42" s="1" t="s">
        <v>18</v>
      </c>
      <c r="F42" s="2">
        <v>16252.052</v>
      </c>
      <c r="G42" s="75">
        <f>60.6+100+200+200+28.7+1260+158+150+50+600+143-50+358+250+363.25</f>
        <v>3871.55</v>
      </c>
      <c r="H42" s="1">
        <f t="shared" si="6"/>
        <v>20123.601999999999</v>
      </c>
      <c r="I42" s="145">
        <v>13283.222000000002</v>
      </c>
      <c r="J42" s="1"/>
      <c r="K42" s="1">
        <f t="shared" si="3"/>
        <v>6840.3799999999974</v>
      </c>
      <c r="L42" s="3">
        <f t="shared" si="5"/>
        <v>0.66008172890718086</v>
      </c>
      <c r="M42" s="1" t="s">
        <v>263</v>
      </c>
    </row>
    <row r="43" spans="2:13">
      <c r="B43">
        <v>21</v>
      </c>
      <c r="C43" s="167"/>
      <c r="D43" s="11" t="s">
        <v>59</v>
      </c>
      <c r="E43" s="1" t="s">
        <v>18</v>
      </c>
      <c r="F43" s="2">
        <v>187.953</v>
      </c>
      <c r="G43" s="1"/>
      <c r="H43" s="1">
        <f t="shared" si="6"/>
        <v>187.953</v>
      </c>
      <c r="I43" s="145">
        <v>73.931000000000012</v>
      </c>
      <c r="J43" s="1"/>
      <c r="K43" s="1">
        <f t="shared" si="3"/>
        <v>114.02199999999999</v>
      </c>
      <c r="L43" s="3">
        <f t="shared" si="5"/>
        <v>0.39334833708427114</v>
      </c>
      <c r="M43" s="1" t="s">
        <v>263</v>
      </c>
    </row>
    <row r="44" spans="2:13">
      <c r="B44">
        <v>22</v>
      </c>
      <c r="C44" s="167"/>
      <c r="D44" s="11" t="s">
        <v>60</v>
      </c>
      <c r="E44" s="1" t="s">
        <v>18</v>
      </c>
      <c r="F44" s="2">
        <v>3510.9389999999999</v>
      </c>
      <c r="G44" s="1">
        <f>-50-200</f>
        <v>-250</v>
      </c>
      <c r="H44" s="1">
        <f t="shared" si="6"/>
        <v>3260.9389999999999</v>
      </c>
      <c r="I44" s="145">
        <v>670.15300000000013</v>
      </c>
      <c r="J44" s="1"/>
      <c r="K44" s="1">
        <f t="shared" si="3"/>
        <v>2590.7859999999996</v>
      </c>
      <c r="L44" s="3">
        <f t="shared" si="5"/>
        <v>0.2055092106905404</v>
      </c>
      <c r="M44" s="1" t="s">
        <v>263</v>
      </c>
    </row>
    <row r="45" spans="2:13">
      <c r="B45">
        <v>23</v>
      </c>
      <c r="C45" s="167"/>
      <c r="D45" s="11" t="s">
        <v>61</v>
      </c>
      <c r="E45" s="1" t="s">
        <v>18</v>
      </c>
      <c r="F45" s="2">
        <v>1977.444</v>
      </c>
      <c r="G45" s="1"/>
      <c r="H45" s="1">
        <f t="shared" si="6"/>
        <v>1977.444</v>
      </c>
      <c r="I45" s="145">
        <v>933.90499999999997</v>
      </c>
      <c r="J45" s="1"/>
      <c r="K45" s="2">
        <f t="shared" si="3"/>
        <v>1043.539</v>
      </c>
      <c r="L45" s="3">
        <f t="shared" si="5"/>
        <v>0.47227886099429361</v>
      </c>
      <c r="M45" s="1" t="s">
        <v>263</v>
      </c>
    </row>
    <row r="46" spans="2:13">
      <c r="B46">
        <v>24</v>
      </c>
      <c r="C46" s="167"/>
      <c r="D46" s="11" t="s">
        <v>62</v>
      </c>
      <c r="E46" s="1" t="s">
        <v>18</v>
      </c>
      <c r="F46" s="2">
        <v>1876.3150000000001</v>
      </c>
      <c r="G46" s="1"/>
      <c r="H46" s="1">
        <f t="shared" si="6"/>
        <v>1876.3150000000001</v>
      </c>
      <c r="I46" s="145">
        <v>504.25700000000001</v>
      </c>
      <c r="J46" s="1"/>
      <c r="K46" s="1">
        <f t="shared" si="3"/>
        <v>1372.058</v>
      </c>
      <c r="L46" s="3">
        <f t="shared" si="5"/>
        <v>0.26874858432619259</v>
      </c>
      <c r="M46" s="1" t="s">
        <v>263</v>
      </c>
    </row>
    <row r="47" spans="2:13">
      <c r="B47">
        <v>25</v>
      </c>
      <c r="C47" s="167"/>
      <c r="D47" s="11" t="s">
        <v>173</v>
      </c>
      <c r="E47" s="1" t="s">
        <v>18</v>
      </c>
      <c r="F47" s="2">
        <v>4177.4589999999998</v>
      </c>
      <c r="G47" s="1"/>
      <c r="H47" s="1">
        <f t="shared" si="6"/>
        <v>4177.4589999999998</v>
      </c>
      <c r="I47" s="145">
        <v>1933.575</v>
      </c>
      <c r="J47" s="1"/>
      <c r="K47" s="1">
        <f t="shared" si="3"/>
        <v>2243.884</v>
      </c>
      <c r="L47" s="3">
        <f t="shared" si="5"/>
        <v>0.46285912081961789</v>
      </c>
      <c r="M47" s="1" t="s">
        <v>263</v>
      </c>
    </row>
    <row r="48" spans="2:13">
      <c r="B48">
        <v>26</v>
      </c>
      <c r="C48" s="167"/>
      <c r="D48" s="11" t="s">
        <v>63</v>
      </c>
      <c r="E48" s="1" t="s">
        <v>18</v>
      </c>
      <c r="F48" s="2">
        <v>2976.7750000000001</v>
      </c>
      <c r="G48" s="1"/>
      <c r="H48" s="1">
        <f t="shared" si="6"/>
        <v>2976.7750000000001</v>
      </c>
      <c r="I48" s="145">
        <v>1837.3560000000004</v>
      </c>
      <c r="J48" s="1"/>
      <c r="K48" s="1">
        <f t="shared" si="3"/>
        <v>1139.4189999999996</v>
      </c>
      <c r="L48" s="3">
        <f t="shared" si="5"/>
        <v>0.61723039195102092</v>
      </c>
      <c r="M48" s="1" t="s">
        <v>263</v>
      </c>
    </row>
    <row r="49" spans="2:13" ht="16.5" customHeight="1">
      <c r="B49">
        <v>27</v>
      </c>
      <c r="C49" s="167"/>
      <c r="D49" s="11" t="s">
        <v>64</v>
      </c>
      <c r="E49" s="1" t="s">
        <v>18</v>
      </c>
      <c r="F49" s="2">
        <v>2568.3670000000002</v>
      </c>
      <c r="G49" s="1"/>
      <c r="H49" s="1">
        <f t="shared" si="6"/>
        <v>2568.3670000000002</v>
      </c>
      <c r="I49" s="145">
        <v>1567.7820000000002</v>
      </c>
      <c r="J49" s="1"/>
      <c r="K49" s="1">
        <f t="shared" ref="K49:K50" si="9">H49-(I49+J49)</f>
        <v>1000.585</v>
      </c>
      <c r="L49" s="3">
        <f t="shared" ref="L49:L50" si="10">I49/H49</f>
        <v>0.6104197725636562</v>
      </c>
      <c r="M49" s="1" t="s">
        <v>263</v>
      </c>
    </row>
    <row r="50" spans="2:13" ht="16.5" customHeight="1">
      <c r="B50">
        <v>28</v>
      </c>
      <c r="C50" s="167"/>
      <c r="D50" s="11" t="s">
        <v>342</v>
      </c>
      <c r="E50" s="1" t="s">
        <v>18</v>
      </c>
      <c r="F50" s="2">
        <v>393.39299999999997</v>
      </c>
      <c r="G50" s="1"/>
      <c r="H50" s="1">
        <f t="shared" si="6"/>
        <v>393.39299999999997</v>
      </c>
      <c r="I50" s="145">
        <v>10.430999999999999</v>
      </c>
      <c r="J50" s="1"/>
      <c r="K50" s="1">
        <f t="shared" si="9"/>
        <v>382.96199999999999</v>
      </c>
      <c r="L50" s="3">
        <f t="shared" si="10"/>
        <v>2.6515469263560867E-2</v>
      </c>
      <c r="M50" s="1"/>
    </row>
    <row r="51" spans="2:13">
      <c r="B51">
        <v>29</v>
      </c>
      <c r="C51" s="167"/>
      <c r="D51" s="11" t="s">
        <v>65</v>
      </c>
      <c r="E51" s="1" t="s">
        <v>18</v>
      </c>
      <c r="F51" s="2">
        <v>1800.2860000000001</v>
      </c>
      <c r="G51" s="1"/>
      <c r="H51" s="1">
        <f t="shared" ref="H51:H93" si="11">F51+G51</f>
        <v>1800.2860000000001</v>
      </c>
      <c r="I51" s="145">
        <v>237.18599999999998</v>
      </c>
      <c r="J51" s="1"/>
      <c r="K51" s="1">
        <f t="shared" si="3"/>
        <v>1563.1000000000001</v>
      </c>
      <c r="L51" s="3">
        <f t="shared" si="5"/>
        <v>0.13174906653720575</v>
      </c>
      <c r="M51" s="1" t="s">
        <v>263</v>
      </c>
    </row>
    <row r="52" spans="2:13">
      <c r="B52">
        <v>30</v>
      </c>
      <c r="C52" s="167"/>
      <c r="D52" s="11" t="s">
        <v>66</v>
      </c>
      <c r="E52" s="1" t="s">
        <v>18</v>
      </c>
      <c r="F52" s="2">
        <v>122.875</v>
      </c>
      <c r="G52" s="1">
        <f>-35.1-60.6-0.04</f>
        <v>-95.740000000000009</v>
      </c>
      <c r="H52" s="1">
        <f t="shared" si="11"/>
        <v>27.134999999999991</v>
      </c>
      <c r="I52" s="145">
        <v>0</v>
      </c>
      <c r="J52" s="1"/>
      <c r="K52" s="1">
        <f t="shared" si="3"/>
        <v>27.134999999999991</v>
      </c>
      <c r="L52" s="3">
        <f>(G52/F52)*-1</f>
        <v>0.77916581892166847</v>
      </c>
      <c r="M52" s="1" t="s">
        <v>263</v>
      </c>
    </row>
    <row r="53" spans="2:13">
      <c r="B53">
        <v>31</v>
      </c>
      <c r="C53" s="167"/>
      <c r="D53" s="11" t="s">
        <v>67</v>
      </c>
      <c r="E53" s="1" t="s">
        <v>18</v>
      </c>
      <c r="F53" s="2">
        <v>2996.0010000000002</v>
      </c>
      <c r="G53" s="1">
        <f>-120-120-120-120</f>
        <v>-480</v>
      </c>
      <c r="H53" s="1">
        <f t="shared" si="11"/>
        <v>2516.0010000000002</v>
      </c>
      <c r="I53" s="145">
        <v>273.94499999999999</v>
      </c>
      <c r="J53" s="1"/>
      <c r="K53" s="1">
        <f t="shared" si="3"/>
        <v>2242.056</v>
      </c>
      <c r="L53" s="3">
        <f t="shared" si="5"/>
        <v>0.10888111729685321</v>
      </c>
      <c r="M53" s="1" t="s">
        <v>263</v>
      </c>
    </row>
    <row r="54" spans="2:13">
      <c r="B54">
        <v>32</v>
      </c>
      <c r="C54" s="167"/>
      <c r="D54" s="11" t="s">
        <v>68</v>
      </c>
      <c r="E54" s="1" t="s">
        <v>18</v>
      </c>
      <c r="F54" s="2">
        <v>2858.5039999999999</v>
      </c>
      <c r="G54" s="1">
        <f>-315</f>
        <v>-315</v>
      </c>
      <c r="H54" s="1">
        <f t="shared" si="11"/>
        <v>2543.5039999999999</v>
      </c>
      <c r="I54" s="145">
        <v>1021.3339999999999</v>
      </c>
      <c r="J54" s="1"/>
      <c r="K54" s="1">
        <f t="shared" si="3"/>
        <v>1522.17</v>
      </c>
      <c r="L54" s="3">
        <f t="shared" si="5"/>
        <v>0.4015460561493121</v>
      </c>
      <c r="M54" s="1" t="s">
        <v>263</v>
      </c>
    </row>
    <row r="55" spans="2:13">
      <c r="B55">
        <v>33</v>
      </c>
      <c r="C55" s="167"/>
      <c r="D55" s="11" t="s">
        <v>279</v>
      </c>
      <c r="E55" s="1" t="s">
        <v>18</v>
      </c>
      <c r="F55" s="2">
        <v>423.45800000000003</v>
      </c>
      <c r="G55" s="1"/>
      <c r="H55" s="1">
        <f t="shared" si="11"/>
        <v>423.45800000000003</v>
      </c>
      <c r="I55" s="145">
        <v>97.847999999999999</v>
      </c>
      <c r="J55" s="1"/>
      <c r="K55" s="1">
        <f t="shared" si="3"/>
        <v>325.61</v>
      </c>
      <c r="L55" s="3">
        <f t="shared" si="5"/>
        <v>0.23106896079422279</v>
      </c>
      <c r="M55" s="1" t="s">
        <v>263</v>
      </c>
    </row>
    <row r="56" spans="2:13">
      <c r="B56">
        <v>34</v>
      </c>
      <c r="C56" s="167"/>
      <c r="D56" s="11" t="s">
        <v>69</v>
      </c>
      <c r="E56" s="1" t="s">
        <v>18</v>
      </c>
      <c r="F56" s="2">
        <v>1.4E-2</v>
      </c>
      <c r="G56" s="1"/>
      <c r="H56" s="1">
        <f t="shared" si="11"/>
        <v>1.4E-2</v>
      </c>
      <c r="I56" s="145">
        <v>0</v>
      </c>
      <c r="J56" s="1"/>
      <c r="K56" s="1">
        <f t="shared" si="3"/>
        <v>1.4E-2</v>
      </c>
      <c r="L56" s="3">
        <f t="shared" si="5"/>
        <v>0</v>
      </c>
      <c r="M56" s="1" t="s">
        <v>263</v>
      </c>
    </row>
    <row r="57" spans="2:13">
      <c r="B57">
        <v>35</v>
      </c>
      <c r="C57" s="167"/>
      <c r="D57" s="11" t="s">
        <v>70</v>
      </c>
      <c r="E57" s="1" t="s">
        <v>18</v>
      </c>
      <c r="F57" s="2">
        <v>473.16899999999998</v>
      </c>
      <c r="G57" s="1">
        <f>-50-10-20+94.7</f>
        <v>14.700000000000003</v>
      </c>
      <c r="H57" s="1">
        <f t="shared" si="11"/>
        <v>487.86899999999997</v>
      </c>
      <c r="I57" s="145">
        <v>106.76599999999999</v>
      </c>
      <c r="J57" s="1"/>
      <c r="K57" s="1">
        <f t="shared" si="3"/>
        <v>381.10299999999995</v>
      </c>
      <c r="L57" s="3">
        <f t="shared" si="5"/>
        <v>0.21884153328045028</v>
      </c>
      <c r="M57" s="1" t="s">
        <v>263</v>
      </c>
    </row>
    <row r="58" spans="2:13">
      <c r="B58">
        <v>36</v>
      </c>
      <c r="C58" s="167"/>
      <c r="D58" s="11" t="s">
        <v>71</v>
      </c>
      <c r="E58" s="1" t="s">
        <v>18</v>
      </c>
      <c r="F58" s="2">
        <v>1500.9839999999999</v>
      </c>
      <c r="G58" s="1">
        <f>-20-20-200</f>
        <v>-240</v>
      </c>
      <c r="H58" s="1">
        <f t="shared" si="11"/>
        <v>1260.9839999999999</v>
      </c>
      <c r="I58" s="145">
        <v>128.60600000000002</v>
      </c>
      <c r="J58" s="1"/>
      <c r="K58" s="1">
        <f t="shared" si="3"/>
        <v>1132.3779999999999</v>
      </c>
      <c r="L58" s="3">
        <f t="shared" si="5"/>
        <v>0.10198860572378399</v>
      </c>
      <c r="M58" s="1" t="s">
        <v>263</v>
      </c>
    </row>
    <row r="59" spans="2:13">
      <c r="B59">
        <v>37</v>
      </c>
      <c r="C59" s="167"/>
      <c r="D59" s="11" t="s">
        <v>72</v>
      </c>
      <c r="E59" s="1" t="s">
        <v>18</v>
      </c>
      <c r="F59" s="2">
        <v>502.738</v>
      </c>
      <c r="G59" s="1">
        <f>-100-100-10-50+20-94.7-37+347.239</f>
        <v>-24.461000000000013</v>
      </c>
      <c r="H59" s="1">
        <f t="shared" si="11"/>
        <v>478.27699999999999</v>
      </c>
      <c r="I59" s="145">
        <v>83.331999999999994</v>
      </c>
      <c r="J59" s="1"/>
      <c r="K59" s="1">
        <f t="shared" si="3"/>
        <v>394.94499999999999</v>
      </c>
      <c r="L59" s="3">
        <f t="shared" si="5"/>
        <v>0.17423375993409676</v>
      </c>
      <c r="M59" s="1" t="s">
        <v>263</v>
      </c>
    </row>
    <row r="60" spans="2:13">
      <c r="B60">
        <v>38</v>
      </c>
      <c r="C60" s="167"/>
      <c r="D60" s="11" t="s">
        <v>556</v>
      </c>
      <c r="E60" s="1" t="s">
        <v>18</v>
      </c>
      <c r="F60" s="2">
        <v>2578.6779999999999</v>
      </c>
      <c r="G60" s="1">
        <f>300-10</f>
        <v>290</v>
      </c>
      <c r="H60" s="1">
        <f t="shared" si="11"/>
        <v>2868.6779999999999</v>
      </c>
      <c r="I60" s="145">
        <v>972.99400000000003</v>
      </c>
      <c r="J60" s="1"/>
      <c r="K60" s="1">
        <f t="shared" si="3"/>
        <v>1895.6839999999997</v>
      </c>
      <c r="L60" s="3">
        <f t="shared" si="5"/>
        <v>0.33917853450265245</v>
      </c>
      <c r="M60" s="1" t="s">
        <v>263</v>
      </c>
    </row>
    <row r="61" spans="2:13">
      <c r="B61">
        <v>39</v>
      </c>
      <c r="C61" s="167"/>
      <c r="D61" s="11" t="s">
        <v>74</v>
      </c>
      <c r="E61" s="1" t="s">
        <v>18</v>
      </c>
      <c r="F61" s="2">
        <v>864.62300000000005</v>
      </c>
      <c r="G61" s="1"/>
      <c r="H61" s="1">
        <f t="shared" si="11"/>
        <v>864.62300000000005</v>
      </c>
      <c r="I61" s="145">
        <v>172.81299999999999</v>
      </c>
      <c r="J61" s="1"/>
      <c r="K61" s="1">
        <f t="shared" si="3"/>
        <v>691.81000000000006</v>
      </c>
      <c r="L61" s="3">
        <f t="shared" si="5"/>
        <v>0.19987092640376208</v>
      </c>
      <c r="M61" s="1" t="s">
        <v>263</v>
      </c>
    </row>
    <row r="62" spans="2:13">
      <c r="B62">
        <v>40</v>
      </c>
      <c r="C62" s="167"/>
      <c r="D62" s="11" t="s">
        <v>75</v>
      </c>
      <c r="E62" s="1" t="s">
        <v>18</v>
      </c>
      <c r="F62" s="2">
        <v>810.00400000000002</v>
      </c>
      <c r="G62" s="1"/>
      <c r="H62" s="1">
        <f t="shared" si="11"/>
        <v>810.00400000000002</v>
      </c>
      <c r="I62" s="145">
        <v>56.554000000000002</v>
      </c>
      <c r="J62" s="1"/>
      <c r="K62" s="1">
        <f t="shared" si="3"/>
        <v>753.45</v>
      </c>
      <c r="L62" s="3">
        <f t="shared" si="5"/>
        <v>6.9819408299218275E-2</v>
      </c>
      <c r="M62" s="1" t="s">
        <v>263</v>
      </c>
    </row>
    <row r="63" spans="2:13">
      <c r="B63">
        <v>41</v>
      </c>
      <c r="C63" s="167"/>
      <c r="D63" s="11" t="s">
        <v>322</v>
      </c>
      <c r="E63" s="1" t="s">
        <v>18</v>
      </c>
      <c r="F63" s="2">
        <v>839.64700000000005</v>
      </c>
      <c r="G63" s="1">
        <f>-150-100-100</f>
        <v>-350</v>
      </c>
      <c r="H63" s="1">
        <f t="shared" si="11"/>
        <v>489.64700000000005</v>
      </c>
      <c r="I63" s="145">
        <v>54.338000000000001</v>
      </c>
      <c r="J63" s="1"/>
      <c r="K63" s="1">
        <f t="shared" si="3"/>
        <v>435.30900000000003</v>
      </c>
      <c r="L63" s="3">
        <f t="shared" si="5"/>
        <v>0.11097382399973858</v>
      </c>
      <c r="M63" s="1"/>
    </row>
    <row r="64" spans="2:13">
      <c r="B64">
        <v>42</v>
      </c>
      <c r="C64" s="167"/>
      <c r="D64" s="11" t="s">
        <v>76</v>
      </c>
      <c r="E64" s="1" t="s">
        <v>18</v>
      </c>
      <c r="F64" s="2">
        <v>837.60299999999995</v>
      </c>
      <c r="G64" s="1">
        <f>-630.129</f>
        <v>-630.12900000000002</v>
      </c>
      <c r="H64" s="1">
        <f t="shared" si="11"/>
        <v>207.47399999999993</v>
      </c>
      <c r="I64" s="145">
        <v>22.536000000000001</v>
      </c>
      <c r="J64" s="1"/>
      <c r="K64" s="1">
        <f t="shared" si="3"/>
        <v>184.93799999999993</v>
      </c>
      <c r="L64" s="3">
        <f t="shared" si="5"/>
        <v>0.10862083923768766</v>
      </c>
      <c r="M64" s="1" t="s">
        <v>263</v>
      </c>
    </row>
    <row r="65" spans="2:13">
      <c r="B65">
        <v>43</v>
      </c>
      <c r="C65" s="167"/>
      <c r="D65" s="11" t="s">
        <v>77</v>
      </c>
      <c r="E65" s="1" t="s">
        <v>18</v>
      </c>
      <c r="F65" s="2">
        <v>91.545000000000002</v>
      </c>
      <c r="G65" s="1">
        <f>-70</f>
        <v>-70</v>
      </c>
      <c r="H65" s="1">
        <f t="shared" si="11"/>
        <v>21.545000000000002</v>
      </c>
      <c r="I65" s="145">
        <v>0</v>
      </c>
      <c r="J65" s="1"/>
      <c r="K65" s="1">
        <f t="shared" si="3"/>
        <v>21.545000000000002</v>
      </c>
      <c r="L65" s="3">
        <f t="shared" si="5"/>
        <v>0</v>
      </c>
      <c r="M65" s="1" t="s">
        <v>263</v>
      </c>
    </row>
    <row r="66" spans="2:13">
      <c r="B66">
        <v>44</v>
      </c>
      <c r="C66" s="167"/>
      <c r="D66" s="11" t="s">
        <v>78</v>
      </c>
      <c r="E66" s="1" t="s">
        <v>18</v>
      </c>
      <c r="F66" s="2">
        <v>1168.229</v>
      </c>
      <c r="G66" s="1">
        <f>-400-150-100</f>
        <v>-650</v>
      </c>
      <c r="H66" s="1">
        <f t="shared" si="11"/>
        <v>518.22900000000004</v>
      </c>
      <c r="I66" s="145">
        <v>52.243999999999993</v>
      </c>
      <c r="J66" s="1"/>
      <c r="K66" s="1">
        <f t="shared" si="3"/>
        <v>465.98500000000007</v>
      </c>
      <c r="L66" s="3">
        <f t="shared" si="5"/>
        <v>0.10081257513570253</v>
      </c>
      <c r="M66" s="1" t="s">
        <v>263</v>
      </c>
    </row>
    <row r="67" spans="2:13">
      <c r="B67">
        <v>45</v>
      </c>
      <c r="C67" s="167"/>
      <c r="D67" s="11" t="s">
        <v>79</v>
      </c>
      <c r="E67" s="1" t="s">
        <v>18</v>
      </c>
      <c r="F67" s="2">
        <v>2486.6999999999998</v>
      </c>
      <c r="G67" s="1"/>
      <c r="H67" s="1">
        <f t="shared" si="11"/>
        <v>2486.6999999999998</v>
      </c>
      <c r="I67" s="145">
        <v>675.01400000000001</v>
      </c>
      <c r="J67" s="1"/>
      <c r="K67" s="1">
        <f t="shared" si="3"/>
        <v>1811.6859999999997</v>
      </c>
      <c r="L67" s="3">
        <f t="shared" si="5"/>
        <v>0.27144971247034222</v>
      </c>
      <c r="M67" s="1" t="s">
        <v>263</v>
      </c>
    </row>
    <row r="68" spans="2:13">
      <c r="B68">
        <v>46</v>
      </c>
      <c r="C68" s="167"/>
      <c r="D68" s="11" t="s">
        <v>80</v>
      </c>
      <c r="E68" s="1" t="s">
        <v>18</v>
      </c>
      <c r="F68" s="2">
        <v>2089.2109999999998</v>
      </c>
      <c r="G68" s="1">
        <f>315</f>
        <v>315</v>
      </c>
      <c r="H68" s="1">
        <f t="shared" si="11"/>
        <v>2404.2109999999998</v>
      </c>
      <c r="I68" s="145">
        <v>1672.2619999999999</v>
      </c>
      <c r="J68" s="1"/>
      <c r="K68" s="1">
        <f t="shared" si="3"/>
        <v>731.94899999999984</v>
      </c>
      <c r="L68" s="3">
        <f t="shared" si="5"/>
        <v>0.69555542338006116</v>
      </c>
      <c r="M68" s="27"/>
    </row>
    <row r="69" spans="2:13">
      <c r="B69">
        <v>47</v>
      </c>
      <c r="C69" s="167"/>
      <c r="D69" s="11" t="s">
        <v>81</v>
      </c>
      <c r="E69" s="1" t="s">
        <v>18</v>
      </c>
      <c r="F69" s="2">
        <v>3047.6849999999999</v>
      </c>
      <c r="G69" s="1">
        <f>-1770-600</f>
        <v>-2370</v>
      </c>
      <c r="H69" s="1">
        <f t="shared" si="11"/>
        <v>677.68499999999995</v>
      </c>
      <c r="I69" s="145">
        <v>7.886000000000001</v>
      </c>
      <c r="J69" s="1"/>
      <c r="K69" s="1">
        <f t="shared" si="3"/>
        <v>669.79899999999998</v>
      </c>
      <c r="L69" s="3">
        <f>(G69/F69)*-1</f>
        <v>0.77763942139689635</v>
      </c>
      <c r="M69" s="1" t="s">
        <v>263</v>
      </c>
    </row>
    <row r="70" spans="2:13">
      <c r="B70" s="107">
        <v>48</v>
      </c>
      <c r="C70" s="167"/>
      <c r="D70" s="150" t="s">
        <v>82</v>
      </c>
      <c r="E70" s="150" t="s">
        <v>18</v>
      </c>
      <c r="F70" s="151">
        <v>0</v>
      </c>
      <c r="G70" s="1"/>
      <c r="H70" s="1">
        <f t="shared" si="11"/>
        <v>0</v>
      </c>
      <c r="I70" s="145">
        <v>0</v>
      </c>
      <c r="J70" s="1"/>
      <c r="K70" s="1">
        <f t="shared" si="3"/>
        <v>0</v>
      </c>
      <c r="L70" s="3" t="e">
        <f t="shared" si="5"/>
        <v>#DIV/0!</v>
      </c>
      <c r="M70" s="1" t="s">
        <v>263</v>
      </c>
    </row>
    <row r="71" spans="2:13">
      <c r="B71">
        <v>49</v>
      </c>
      <c r="C71" s="167"/>
      <c r="D71" s="11" t="s">
        <v>83</v>
      </c>
      <c r="E71" s="1" t="s">
        <v>18</v>
      </c>
      <c r="F71" s="2">
        <v>4148.8729999999996</v>
      </c>
      <c r="G71" s="1">
        <f>-1-40-40-25-100</f>
        <v>-206</v>
      </c>
      <c r="H71" s="1">
        <f t="shared" si="11"/>
        <v>3942.8729999999996</v>
      </c>
      <c r="I71" s="145">
        <v>698.0870000000001</v>
      </c>
      <c r="J71" s="1"/>
      <c r="K71" s="1">
        <f t="shared" si="3"/>
        <v>3244.7859999999996</v>
      </c>
      <c r="L71" s="3">
        <f t="shared" si="5"/>
        <v>0.17705033867436262</v>
      </c>
      <c r="M71" s="1" t="s">
        <v>263</v>
      </c>
    </row>
    <row r="72" spans="2:13">
      <c r="B72">
        <v>50</v>
      </c>
      <c r="C72" s="167"/>
      <c r="D72" s="11" t="s">
        <v>323</v>
      </c>
      <c r="E72" s="1" t="s">
        <v>18</v>
      </c>
      <c r="F72" s="2">
        <v>107.392</v>
      </c>
      <c r="G72" s="1">
        <f>-9</f>
        <v>-9</v>
      </c>
      <c r="H72" s="1">
        <f t="shared" si="11"/>
        <v>98.391999999999996</v>
      </c>
      <c r="I72" s="145">
        <v>0</v>
      </c>
      <c r="J72" s="1"/>
      <c r="K72" s="1">
        <f t="shared" si="3"/>
        <v>98.391999999999996</v>
      </c>
      <c r="L72" s="3">
        <f t="shared" si="5"/>
        <v>0</v>
      </c>
      <c r="M72" s="1"/>
    </row>
    <row r="73" spans="2:13">
      <c r="B73">
        <v>51</v>
      </c>
      <c r="C73" s="167"/>
      <c r="D73" s="11" t="s">
        <v>261</v>
      </c>
      <c r="E73" s="1" t="s">
        <v>18</v>
      </c>
      <c r="F73" s="2">
        <v>326.17700000000002</v>
      </c>
      <c r="G73" s="1">
        <f>150</f>
        <v>150</v>
      </c>
      <c r="H73" s="1">
        <f t="shared" ref="H73:H74" si="12">F73+G73</f>
        <v>476.17700000000002</v>
      </c>
      <c r="I73" s="145">
        <v>591.63499999999999</v>
      </c>
      <c r="J73" s="1"/>
      <c r="K73" s="1">
        <f t="shared" ref="K73:K74" si="13">H73-(I73+J73)</f>
        <v>-115.45799999999997</v>
      </c>
      <c r="L73" s="3">
        <f t="shared" ref="L73:L74" si="14">I73/H73</f>
        <v>1.2424686618631307</v>
      </c>
      <c r="M73" s="1" t="s">
        <v>263</v>
      </c>
    </row>
    <row r="74" spans="2:13">
      <c r="B74">
        <v>52</v>
      </c>
      <c r="C74" s="167"/>
      <c r="D74" s="11" t="s">
        <v>324</v>
      </c>
      <c r="E74" s="1" t="s">
        <v>18</v>
      </c>
      <c r="F74" s="2">
        <v>36.890999999999998</v>
      </c>
      <c r="G74" s="1">
        <f>-28.7</f>
        <v>-28.7</v>
      </c>
      <c r="H74" s="1">
        <f t="shared" si="12"/>
        <v>8.1909999999999989</v>
      </c>
      <c r="I74" s="145">
        <v>0</v>
      </c>
      <c r="J74" s="1"/>
      <c r="K74" s="1">
        <f t="shared" si="13"/>
        <v>8.1909999999999989</v>
      </c>
      <c r="L74" s="3">
        <f t="shared" si="14"/>
        <v>0</v>
      </c>
      <c r="M74" s="27"/>
    </row>
    <row r="75" spans="2:13">
      <c r="B75">
        <v>53</v>
      </c>
      <c r="C75" s="167"/>
      <c r="D75" s="11" t="s">
        <v>84</v>
      </c>
      <c r="E75" s="1" t="s">
        <v>18</v>
      </c>
      <c r="F75" s="2">
        <v>1493.675</v>
      </c>
      <c r="G75" s="1">
        <f>-20-20-20</f>
        <v>-60</v>
      </c>
      <c r="H75" s="1">
        <f t="shared" si="11"/>
        <v>1433.675</v>
      </c>
      <c r="I75" s="145">
        <v>517.87200000000007</v>
      </c>
      <c r="J75" s="1"/>
      <c r="K75" s="1">
        <f t="shared" si="3"/>
        <v>915.80299999999988</v>
      </c>
      <c r="L75" s="3">
        <f t="shared" si="5"/>
        <v>0.36121994175806937</v>
      </c>
      <c r="M75" s="1" t="s">
        <v>263</v>
      </c>
    </row>
    <row r="76" spans="2:13">
      <c r="B76">
        <v>54</v>
      </c>
      <c r="C76" s="167"/>
      <c r="D76" s="11" t="s">
        <v>85</v>
      </c>
      <c r="E76" s="1" t="s">
        <v>18</v>
      </c>
      <c r="F76" s="2">
        <v>5248.0739999999996</v>
      </c>
      <c r="G76" s="1">
        <f>-7-100</f>
        <v>-107</v>
      </c>
      <c r="H76" s="1">
        <f t="shared" si="11"/>
        <v>5141.0739999999996</v>
      </c>
      <c r="I76" s="145">
        <v>1040.826</v>
      </c>
      <c r="J76" s="1"/>
      <c r="K76" s="1">
        <f t="shared" si="3"/>
        <v>4100.2479999999996</v>
      </c>
      <c r="L76" s="3">
        <f t="shared" si="5"/>
        <v>0.20245302829720019</v>
      </c>
      <c r="M76" s="1" t="s">
        <v>263</v>
      </c>
    </row>
    <row r="77" spans="2:13">
      <c r="B77">
        <v>55</v>
      </c>
      <c r="C77" s="167"/>
      <c r="D77" s="11" t="s">
        <v>86</v>
      </c>
      <c r="E77" s="1" t="s">
        <v>18</v>
      </c>
      <c r="F77" s="2">
        <v>1535.1669999999999</v>
      </c>
      <c r="G77" s="1">
        <f>-66+37-472-127-400-50</f>
        <v>-1078</v>
      </c>
      <c r="H77" s="1">
        <f t="shared" si="11"/>
        <v>457.16699999999992</v>
      </c>
      <c r="I77" s="145">
        <v>30.151999999999997</v>
      </c>
      <c r="J77" s="1"/>
      <c r="K77" s="1">
        <f t="shared" si="3"/>
        <v>427.01499999999993</v>
      </c>
      <c r="L77" s="3">
        <f t="shared" si="5"/>
        <v>6.5954016803487572E-2</v>
      </c>
      <c r="M77" s="1" t="s">
        <v>263</v>
      </c>
    </row>
    <row r="78" spans="2:13">
      <c r="B78">
        <v>56</v>
      </c>
      <c r="C78" s="167"/>
      <c r="D78" s="11" t="s">
        <v>87</v>
      </c>
      <c r="E78" s="1" t="s">
        <v>18</v>
      </c>
      <c r="F78" s="2">
        <v>2511.8629999999998</v>
      </c>
      <c r="G78" s="1"/>
      <c r="H78" s="1">
        <f t="shared" si="11"/>
        <v>2511.8629999999998</v>
      </c>
      <c r="I78" s="145">
        <v>560.89400000000001</v>
      </c>
      <c r="J78" s="1"/>
      <c r="K78" s="1">
        <f t="shared" si="3"/>
        <v>1950.9689999999998</v>
      </c>
      <c r="L78" s="3">
        <f t="shared" si="5"/>
        <v>0.22329800630050287</v>
      </c>
      <c r="M78" s="1" t="s">
        <v>263</v>
      </c>
    </row>
    <row r="79" spans="2:13">
      <c r="B79">
        <v>57</v>
      </c>
      <c r="C79" s="167"/>
      <c r="D79" s="11" t="s">
        <v>165</v>
      </c>
      <c r="E79" s="1" t="s">
        <v>18</v>
      </c>
      <c r="F79" s="2">
        <v>5733.8720000000003</v>
      </c>
      <c r="G79" s="1">
        <f>200+143+100</f>
        <v>443</v>
      </c>
      <c r="H79" s="1">
        <f t="shared" si="11"/>
        <v>6176.8720000000003</v>
      </c>
      <c r="I79" s="145">
        <v>2235.1469999999999</v>
      </c>
      <c r="J79" s="1"/>
      <c r="K79" s="1">
        <f t="shared" si="3"/>
        <v>3941.7250000000004</v>
      </c>
      <c r="L79" s="3">
        <f t="shared" si="5"/>
        <v>0.36185742557074191</v>
      </c>
      <c r="M79" s="1" t="s">
        <v>263</v>
      </c>
    </row>
    <row r="80" spans="2:13">
      <c r="B80">
        <v>58</v>
      </c>
      <c r="C80" s="167"/>
      <c r="D80" s="11" t="s">
        <v>88</v>
      </c>
      <c r="E80" s="1" t="s">
        <v>18</v>
      </c>
      <c r="F80" s="2">
        <v>202.874</v>
      </c>
      <c r="G80" s="1">
        <f>-158</f>
        <v>-158</v>
      </c>
      <c r="H80" s="1">
        <f t="shared" si="11"/>
        <v>44.873999999999995</v>
      </c>
      <c r="I80" s="145">
        <v>0</v>
      </c>
      <c r="J80" s="1"/>
      <c r="K80" s="1">
        <f t="shared" si="3"/>
        <v>44.873999999999995</v>
      </c>
      <c r="L80" s="3">
        <f t="shared" si="5"/>
        <v>0</v>
      </c>
      <c r="M80" s="1" t="s">
        <v>263</v>
      </c>
    </row>
    <row r="81" spans="2:13">
      <c r="B81">
        <v>59</v>
      </c>
      <c r="C81" s="167"/>
      <c r="D81" s="11" t="s">
        <v>89</v>
      </c>
      <c r="E81" s="1" t="s">
        <v>18</v>
      </c>
      <c r="F81" s="2">
        <v>7909.893</v>
      </c>
      <c r="G81" s="1">
        <f>200-100+119-2+978.158+200</f>
        <v>1395.1579999999999</v>
      </c>
      <c r="H81" s="1">
        <f t="shared" si="11"/>
        <v>9305.0509999999995</v>
      </c>
      <c r="I81" s="145">
        <v>3777.9019999999996</v>
      </c>
      <c r="J81" s="1"/>
      <c r="K81" s="1">
        <f t="shared" si="3"/>
        <v>5527.1489999999994</v>
      </c>
      <c r="L81" s="3">
        <f t="shared" si="5"/>
        <v>0.40600551248993688</v>
      </c>
      <c r="M81" s="1" t="s">
        <v>263</v>
      </c>
    </row>
    <row r="82" spans="2:13">
      <c r="B82">
        <v>60</v>
      </c>
      <c r="C82" s="167"/>
      <c r="D82" s="11" t="s">
        <v>166</v>
      </c>
      <c r="E82" s="1" t="s">
        <v>18</v>
      </c>
      <c r="F82" s="2">
        <v>169.364</v>
      </c>
      <c r="G82" s="1"/>
      <c r="H82" s="1">
        <f t="shared" si="11"/>
        <v>169.364</v>
      </c>
      <c r="I82" s="145">
        <v>65.88900000000001</v>
      </c>
      <c r="J82" s="1"/>
      <c r="K82" s="1">
        <f t="shared" si="3"/>
        <v>103.47499999999999</v>
      </c>
      <c r="L82" s="3">
        <f t="shared" si="5"/>
        <v>0.38903781204978632</v>
      </c>
      <c r="M82" s="1" t="s">
        <v>263</v>
      </c>
    </row>
    <row r="83" spans="2:13">
      <c r="B83">
        <v>61</v>
      </c>
      <c r="C83" s="167"/>
      <c r="D83" s="11" t="s">
        <v>90</v>
      </c>
      <c r="E83" s="1" t="s">
        <v>18</v>
      </c>
      <c r="F83" s="2">
        <v>2.282</v>
      </c>
      <c r="G83" s="1"/>
      <c r="H83" s="1">
        <f t="shared" si="11"/>
        <v>2.282</v>
      </c>
      <c r="I83" s="145">
        <v>0</v>
      </c>
      <c r="J83" s="1"/>
      <c r="K83" s="1">
        <f t="shared" si="3"/>
        <v>2.282</v>
      </c>
      <c r="L83" s="3">
        <f>(G83/F83)*-1</f>
        <v>0</v>
      </c>
      <c r="M83" s="1" t="s">
        <v>263</v>
      </c>
    </row>
    <row r="84" spans="2:13">
      <c r="B84">
        <v>62</v>
      </c>
      <c r="C84" s="167"/>
      <c r="D84" s="11" t="s">
        <v>167</v>
      </c>
      <c r="E84" s="1" t="s">
        <v>18</v>
      </c>
      <c r="F84" s="2">
        <v>7691.7839999999997</v>
      </c>
      <c r="G84" s="1">
        <f>-246-290</f>
        <v>-536</v>
      </c>
      <c r="H84" s="1">
        <f t="shared" si="11"/>
        <v>7155.7839999999997</v>
      </c>
      <c r="I84" s="145">
        <v>2151.3470000000002</v>
      </c>
      <c r="J84" s="1"/>
      <c r="K84" s="1">
        <f t="shared" si="3"/>
        <v>5004.4369999999999</v>
      </c>
      <c r="L84" s="3">
        <f t="shared" si="5"/>
        <v>0.30064448563567603</v>
      </c>
      <c r="M84" s="1" t="s">
        <v>263</v>
      </c>
    </row>
    <row r="85" spans="2:13">
      <c r="B85">
        <v>63</v>
      </c>
      <c r="C85" s="167"/>
      <c r="D85" s="11" t="s">
        <v>168</v>
      </c>
      <c r="E85" s="1" t="s">
        <v>18</v>
      </c>
      <c r="F85" s="2">
        <v>1768.759</v>
      </c>
      <c r="G85" s="1">
        <f>-250</f>
        <v>-250</v>
      </c>
      <c r="H85" s="1">
        <f t="shared" si="11"/>
        <v>1518.759</v>
      </c>
      <c r="I85" s="145">
        <v>532.35000000000014</v>
      </c>
      <c r="J85" s="1"/>
      <c r="K85" s="1">
        <f t="shared" si="3"/>
        <v>986.40899999999988</v>
      </c>
      <c r="L85" s="3">
        <f t="shared" si="5"/>
        <v>0.35051644138405114</v>
      </c>
      <c r="M85" s="1" t="s">
        <v>263</v>
      </c>
    </row>
    <row r="86" spans="2:13">
      <c r="B86">
        <v>64</v>
      </c>
      <c r="C86" s="167"/>
      <c r="D86" s="11" t="s">
        <v>169</v>
      </c>
      <c r="E86" s="1" t="s">
        <v>18</v>
      </c>
      <c r="F86" s="2">
        <v>562.73900000000003</v>
      </c>
      <c r="G86" s="1"/>
      <c r="H86" s="1">
        <f t="shared" si="11"/>
        <v>562.73900000000003</v>
      </c>
      <c r="I86" s="145">
        <v>209.24299999999999</v>
      </c>
      <c r="J86" s="1"/>
      <c r="K86" s="1">
        <f t="shared" si="3"/>
        <v>353.49600000000004</v>
      </c>
      <c r="L86" s="3">
        <f t="shared" si="5"/>
        <v>0.37182956930299832</v>
      </c>
      <c r="M86" s="1" t="s">
        <v>263</v>
      </c>
    </row>
    <row r="87" spans="2:13">
      <c r="B87">
        <v>65</v>
      </c>
      <c r="C87" s="167"/>
      <c r="D87" s="11" t="s">
        <v>280</v>
      </c>
      <c r="E87" s="1" t="s">
        <v>18</v>
      </c>
      <c r="F87" s="2">
        <v>1733.444</v>
      </c>
      <c r="G87" s="1">
        <f>120</f>
        <v>120</v>
      </c>
      <c r="H87" s="1">
        <f t="shared" si="11"/>
        <v>1853.444</v>
      </c>
      <c r="I87" s="145">
        <v>388.07900000000001</v>
      </c>
      <c r="J87" s="1"/>
      <c r="K87" s="1">
        <f t="shared" si="3"/>
        <v>1465.365</v>
      </c>
      <c r="L87" s="3">
        <f t="shared" si="5"/>
        <v>0.20938264118041874</v>
      </c>
      <c r="M87" s="1" t="s">
        <v>263</v>
      </c>
    </row>
    <row r="88" spans="2:13">
      <c r="B88">
        <v>66</v>
      </c>
      <c r="C88" s="167"/>
      <c r="D88" s="11" t="s">
        <v>170</v>
      </c>
      <c r="E88" s="1" t="s">
        <v>18</v>
      </c>
      <c r="F88" s="2">
        <v>2363.6390000000001</v>
      </c>
      <c r="G88" s="1">
        <f>-2</f>
        <v>-2</v>
      </c>
      <c r="H88" s="1">
        <f t="shared" si="11"/>
        <v>2361.6390000000001</v>
      </c>
      <c r="I88" s="145">
        <v>750.1389999999999</v>
      </c>
      <c r="J88" s="1"/>
      <c r="K88" s="1">
        <f t="shared" si="3"/>
        <v>1611.5000000000002</v>
      </c>
      <c r="L88" s="3">
        <f t="shared" si="5"/>
        <v>0.3176349137188198</v>
      </c>
      <c r="M88" s="1" t="s">
        <v>263</v>
      </c>
    </row>
    <row r="89" spans="2:13">
      <c r="B89">
        <v>67</v>
      </c>
      <c r="C89" s="167"/>
      <c r="D89" s="11" t="s">
        <v>91</v>
      </c>
      <c r="E89" s="1" t="s">
        <v>18</v>
      </c>
      <c r="F89" s="2">
        <v>3124.47</v>
      </c>
      <c r="G89" s="1"/>
      <c r="H89" s="1">
        <f t="shared" si="11"/>
        <v>3124.47</v>
      </c>
      <c r="I89" s="145">
        <v>543.25699999999995</v>
      </c>
      <c r="J89" s="1"/>
      <c r="K89" s="1">
        <f t="shared" ref="K89:K139" si="15">H89-(I89+J89)</f>
        <v>2581.2129999999997</v>
      </c>
      <c r="L89" s="3">
        <f t="shared" si="5"/>
        <v>0.17387172864517822</v>
      </c>
      <c r="M89" s="1" t="s">
        <v>263</v>
      </c>
    </row>
    <row r="90" spans="2:13">
      <c r="B90">
        <v>68</v>
      </c>
      <c r="C90" s="167"/>
      <c r="D90" s="11" t="s">
        <v>92</v>
      </c>
      <c r="E90" s="1" t="s">
        <v>18</v>
      </c>
      <c r="F90" s="2">
        <v>204.44</v>
      </c>
      <c r="G90" s="1">
        <f>70</f>
        <v>70</v>
      </c>
      <c r="H90" s="1">
        <f t="shared" si="11"/>
        <v>274.44</v>
      </c>
      <c r="I90" s="145">
        <v>213.886</v>
      </c>
      <c r="J90" s="1"/>
      <c r="K90" s="1">
        <f t="shared" si="15"/>
        <v>60.554000000000002</v>
      </c>
      <c r="L90" s="3">
        <f t="shared" si="5"/>
        <v>0.77935432152747408</v>
      </c>
      <c r="M90" s="1" t="s">
        <v>263</v>
      </c>
    </row>
    <row r="91" spans="2:13">
      <c r="B91">
        <v>69</v>
      </c>
      <c r="C91" s="167"/>
      <c r="D91" s="11" t="s">
        <v>93</v>
      </c>
      <c r="E91" s="1" t="s">
        <v>18</v>
      </c>
      <c r="F91" s="2">
        <v>1074.184</v>
      </c>
      <c r="G91" s="1"/>
      <c r="H91" s="1">
        <f t="shared" si="11"/>
        <v>1074.184</v>
      </c>
      <c r="I91" s="145">
        <v>392.55400000000003</v>
      </c>
      <c r="J91" s="1"/>
      <c r="K91" s="1">
        <f t="shared" si="15"/>
        <v>681.62999999999988</v>
      </c>
      <c r="L91" s="3">
        <f t="shared" si="5"/>
        <v>0.36544390905096336</v>
      </c>
      <c r="M91" s="1" t="s">
        <v>263</v>
      </c>
    </row>
    <row r="92" spans="2:13">
      <c r="B92">
        <v>70</v>
      </c>
      <c r="C92" s="167"/>
      <c r="D92" s="11" t="s">
        <v>94</v>
      </c>
      <c r="E92" s="1" t="s">
        <v>18</v>
      </c>
      <c r="F92" s="2">
        <v>102.703</v>
      </c>
      <c r="G92" s="1">
        <f>7</f>
        <v>7</v>
      </c>
      <c r="H92" s="1">
        <f t="shared" si="11"/>
        <v>109.703</v>
      </c>
      <c r="I92" s="145">
        <v>38.088000000000001</v>
      </c>
      <c r="J92" s="1"/>
      <c r="K92" s="1">
        <f t="shared" si="15"/>
        <v>71.615000000000009</v>
      </c>
      <c r="L92" s="3">
        <f t="shared" si="5"/>
        <v>0.34719196375668854</v>
      </c>
      <c r="M92" s="1" t="s">
        <v>263</v>
      </c>
    </row>
    <row r="93" spans="2:13">
      <c r="B93">
        <v>71</v>
      </c>
      <c r="C93" s="167"/>
      <c r="D93" s="11" t="s">
        <v>95</v>
      </c>
      <c r="E93" s="1" t="s">
        <v>18</v>
      </c>
      <c r="F93" s="2">
        <v>1623.25</v>
      </c>
      <c r="G93" s="1">
        <f>-1260-363.25</f>
        <v>-1623.25</v>
      </c>
      <c r="H93" s="1">
        <f t="shared" si="11"/>
        <v>0</v>
      </c>
      <c r="I93" s="145">
        <v>0</v>
      </c>
      <c r="J93" s="1"/>
      <c r="K93" s="1">
        <f t="shared" si="15"/>
        <v>0</v>
      </c>
      <c r="L93" s="3" t="e">
        <f t="shared" si="5"/>
        <v>#DIV/0!</v>
      </c>
      <c r="M93" s="1" t="s">
        <v>263</v>
      </c>
    </row>
    <row r="94" spans="2:13">
      <c r="B94">
        <v>72</v>
      </c>
      <c r="C94" s="167"/>
      <c r="D94" s="11" t="s">
        <v>96</v>
      </c>
      <c r="E94" s="1" t="s">
        <v>18</v>
      </c>
      <c r="F94" s="2">
        <v>1787.4069999999999</v>
      </c>
      <c r="G94" s="1"/>
      <c r="H94" s="1">
        <f t="shared" ref="H94:H106" si="16">F94+G94</f>
        <v>1787.4069999999999</v>
      </c>
      <c r="I94" s="145">
        <v>359.24200000000002</v>
      </c>
      <c r="J94" s="1"/>
      <c r="K94" s="1">
        <f t="shared" si="15"/>
        <v>1428.165</v>
      </c>
      <c r="L94" s="3">
        <f t="shared" si="5"/>
        <v>0.200985002296623</v>
      </c>
      <c r="M94" s="1" t="s">
        <v>263</v>
      </c>
    </row>
    <row r="95" spans="2:13">
      <c r="B95">
        <v>73</v>
      </c>
      <c r="C95" s="167"/>
      <c r="D95" s="11" t="s">
        <v>97</v>
      </c>
      <c r="E95" s="1" t="s">
        <v>18</v>
      </c>
      <c r="F95" s="2">
        <v>2021.009</v>
      </c>
      <c r="G95" s="1"/>
      <c r="H95" s="1">
        <f t="shared" si="16"/>
        <v>2021.009</v>
      </c>
      <c r="I95" s="145">
        <v>411.47799999999995</v>
      </c>
      <c r="J95" s="1"/>
      <c r="K95" s="1">
        <f t="shared" si="15"/>
        <v>1609.5309999999999</v>
      </c>
      <c r="L95" s="3">
        <f t="shared" ref="L95:L107" si="17">I95/H95</f>
        <v>0.2036002808498131</v>
      </c>
      <c r="M95" s="1" t="s">
        <v>263</v>
      </c>
    </row>
    <row r="96" spans="2:13">
      <c r="B96">
        <v>74</v>
      </c>
      <c r="C96" s="167"/>
      <c r="D96" s="11" t="s">
        <v>98</v>
      </c>
      <c r="E96" s="1" t="s">
        <v>18</v>
      </c>
      <c r="F96" s="2">
        <v>3135.1529999999998</v>
      </c>
      <c r="G96" s="1">
        <f>-100</f>
        <v>-100</v>
      </c>
      <c r="H96" s="1">
        <f t="shared" si="16"/>
        <v>3035.1529999999998</v>
      </c>
      <c r="I96" s="145">
        <v>2199.1949999999997</v>
      </c>
      <c r="J96" s="1"/>
      <c r="K96" s="1">
        <f t="shared" si="15"/>
        <v>835.95800000000008</v>
      </c>
      <c r="L96" s="3">
        <f t="shared" si="17"/>
        <v>0.72457467547764476</v>
      </c>
      <c r="M96" s="1" t="s">
        <v>263</v>
      </c>
    </row>
    <row r="97" spans="2:14">
      <c r="B97">
        <v>75</v>
      </c>
      <c r="C97" s="167"/>
      <c r="D97" s="11" t="s">
        <v>171</v>
      </c>
      <c r="E97" s="1" t="s">
        <v>18</v>
      </c>
      <c r="F97" s="2">
        <v>946.30899999999997</v>
      </c>
      <c r="G97" s="1"/>
      <c r="H97" s="1">
        <f t="shared" si="16"/>
        <v>946.30899999999997</v>
      </c>
      <c r="I97" s="145">
        <v>57.412000000000006</v>
      </c>
      <c r="J97" s="1"/>
      <c r="K97" s="1">
        <f t="shared" si="15"/>
        <v>888.89699999999993</v>
      </c>
      <c r="L97" s="3">
        <f t="shared" si="17"/>
        <v>6.0669400798259353E-2</v>
      </c>
      <c r="M97" s="1" t="s">
        <v>263</v>
      </c>
    </row>
    <row r="98" spans="2:14">
      <c r="B98">
        <v>76</v>
      </c>
      <c r="C98" s="167"/>
      <c r="D98" s="11" t="s">
        <v>172</v>
      </c>
      <c r="E98" s="1" t="s">
        <v>18</v>
      </c>
      <c r="F98" s="2">
        <v>14.074</v>
      </c>
      <c r="G98" s="1"/>
      <c r="H98" s="1">
        <f t="shared" si="16"/>
        <v>14.074</v>
      </c>
      <c r="I98" s="145">
        <v>7.8209999999999997</v>
      </c>
      <c r="J98" s="1"/>
      <c r="K98" s="1">
        <f t="shared" si="15"/>
        <v>6.2530000000000001</v>
      </c>
      <c r="L98" s="3">
        <f>(G98/F98)*-1</f>
        <v>0</v>
      </c>
      <c r="M98" s="1" t="s">
        <v>263</v>
      </c>
    </row>
    <row r="99" spans="2:14">
      <c r="B99">
        <v>77</v>
      </c>
      <c r="C99" s="167"/>
      <c r="D99" s="11" t="s">
        <v>288</v>
      </c>
      <c r="E99" s="1" t="s">
        <v>18</v>
      </c>
      <c r="F99" s="2">
        <v>398.16800000000001</v>
      </c>
      <c r="G99" s="1"/>
      <c r="H99" s="1">
        <f t="shared" si="16"/>
        <v>398.16800000000001</v>
      </c>
      <c r="I99" s="145">
        <v>106.63399999999999</v>
      </c>
      <c r="J99" s="1"/>
      <c r="K99" s="1">
        <f t="shared" si="15"/>
        <v>291.53399999999999</v>
      </c>
      <c r="L99" s="3">
        <f t="shared" si="17"/>
        <v>0.2678115770227642</v>
      </c>
      <c r="M99" s="1" t="s">
        <v>263</v>
      </c>
    </row>
    <row r="100" spans="2:14">
      <c r="B100">
        <v>78</v>
      </c>
      <c r="C100" s="167"/>
      <c r="D100" s="11" t="s">
        <v>99</v>
      </c>
      <c r="E100" s="1" t="s">
        <v>18</v>
      </c>
      <c r="F100" s="2">
        <v>1511.412</v>
      </c>
      <c r="G100" s="1"/>
      <c r="H100" s="1">
        <f t="shared" si="16"/>
        <v>1511.412</v>
      </c>
      <c r="I100" s="145">
        <v>524.02</v>
      </c>
      <c r="J100" s="1"/>
      <c r="K100" s="1">
        <f t="shared" si="15"/>
        <v>987.39200000000005</v>
      </c>
      <c r="L100" s="3">
        <f t="shared" si="17"/>
        <v>0.3467089053150299</v>
      </c>
      <c r="M100" s="1" t="s">
        <v>263</v>
      </c>
    </row>
    <row r="101" spans="2:14">
      <c r="B101">
        <v>79</v>
      </c>
      <c r="C101" s="167"/>
      <c r="D101" s="11" t="s">
        <v>100</v>
      </c>
      <c r="E101" s="1" t="s">
        <v>18</v>
      </c>
      <c r="F101" s="2">
        <v>8095.6049999999996</v>
      </c>
      <c r="G101" s="1">
        <f>453+241+400</f>
        <v>1094</v>
      </c>
      <c r="H101" s="1">
        <f t="shared" si="16"/>
        <v>9189.6049999999996</v>
      </c>
      <c r="I101" s="145">
        <v>3703.4959999999996</v>
      </c>
      <c r="J101" s="1"/>
      <c r="K101" s="1">
        <f t="shared" si="15"/>
        <v>5486.1090000000004</v>
      </c>
      <c r="L101" s="3">
        <f t="shared" si="17"/>
        <v>0.40300926971289841</v>
      </c>
      <c r="M101" s="1" t="s">
        <v>263</v>
      </c>
    </row>
    <row r="102" spans="2:14">
      <c r="B102">
        <v>80</v>
      </c>
      <c r="C102" s="167"/>
      <c r="D102" s="11" t="s">
        <v>281</v>
      </c>
      <c r="E102" s="1" t="s">
        <v>18</v>
      </c>
      <c r="F102" s="2">
        <v>53.351999999999997</v>
      </c>
      <c r="G102" s="1"/>
      <c r="H102" s="1">
        <f t="shared" si="16"/>
        <v>53.351999999999997</v>
      </c>
      <c r="I102" s="145">
        <v>0</v>
      </c>
      <c r="J102" s="1"/>
      <c r="K102" s="1">
        <f t="shared" si="15"/>
        <v>53.351999999999997</v>
      </c>
      <c r="L102" s="3">
        <f t="shared" si="17"/>
        <v>0</v>
      </c>
      <c r="M102" s="1" t="s">
        <v>263</v>
      </c>
    </row>
    <row r="103" spans="2:14">
      <c r="B103">
        <v>81</v>
      </c>
      <c r="C103" s="167"/>
      <c r="D103" s="11" t="s">
        <v>248</v>
      </c>
      <c r="E103" s="1" t="s">
        <v>18</v>
      </c>
      <c r="F103" s="2">
        <v>76.721999999999994</v>
      </c>
      <c r="G103" s="1"/>
      <c r="H103" s="1">
        <f t="shared" si="16"/>
        <v>76.721999999999994</v>
      </c>
      <c r="I103" s="145">
        <v>25.410999999999998</v>
      </c>
      <c r="J103" s="1"/>
      <c r="K103" s="1">
        <f t="shared" si="15"/>
        <v>51.310999999999993</v>
      </c>
      <c r="L103" s="3">
        <f t="shared" si="17"/>
        <v>0.33120877975026719</v>
      </c>
      <c r="M103" s="27"/>
    </row>
    <row r="104" spans="2:14">
      <c r="B104">
        <v>82</v>
      </c>
      <c r="C104" s="167"/>
      <c r="D104" s="11" t="s">
        <v>101</v>
      </c>
      <c r="E104" s="1" t="s">
        <v>18</v>
      </c>
      <c r="F104" s="2">
        <v>1730.075</v>
      </c>
      <c r="G104" s="1">
        <f>-150+247.1</f>
        <v>97.1</v>
      </c>
      <c r="H104" s="1">
        <f t="shared" si="16"/>
        <v>1827.175</v>
      </c>
      <c r="I104" s="145">
        <v>595.72200000000009</v>
      </c>
      <c r="J104" s="1"/>
      <c r="K104" s="1">
        <f t="shared" si="15"/>
        <v>1231.453</v>
      </c>
      <c r="L104" s="3">
        <f t="shared" si="17"/>
        <v>0.32603445209134324</v>
      </c>
      <c r="M104" s="1" t="s">
        <v>263</v>
      </c>
    </row>
    <row r="105" spans="2:14">
      <c r="B105">
        <v>83</v>
      </c>
      <c r="C105" s="167"/>
      <c r="D105" s="11" t="s">
        <v>102</v>
      </c>
      <c r="E105" s="1" t="s">
        <v>18</v>
      </c>
      <c r="F105" s="2">
        <v>20.605</v>
      </c>
      <c r="G105" s="1"/>
      <c r="H105" s="1">
        <f t="shared" si="16"/>
        <v>20.605</v>
      </c>
      <c r="I105" s="145">
        <v>0</v>
      </c>
      <c r="J105" s="1"/>
      <c r="K105" s="1">
        <f t="shared" si="15"/>
        <v>20.605</v>
      </c>
      <c r="L105" s="3">
        <f t="shared" si="17"/>
        <v>0</v>
      </c>
      <c r="M105" s="27">
        <v>45359</v>
      </c>
    </row>
    <row r="106" spans="2:14">
      <c r="C106" s="167"/>
      <c r="D106" s="11" t="s">
        <v>196</v>
      </c>
      <c r="E106" s="1" t="s">
        <v>18</v>
      </c>
      <c r="F106" s="1"/>
      <c r="G106" s="2">
        <f>3583+350+365.855+297.6+100+184.923+181+2283.9+518.57+100+200+100+100+66+2+4075.823+560+850+10+285+175+20+1898.95+326+1216+154+120+240+945+100+1626+1+69+2+50+160+232.435+412+343+10017.562+241+100+5+20+20+20+50+30+20+250+254+464.952+100+268+150+650.932+813.633+643+343+9+50+10+75+40+20+40+70+1542+103+386+613+0.04+500.489+238.612+520+25+150+215+100</f>
        <v>41472.276000000005</v>
      </c>
      <c r="H106" s="2">
        <f t="shared" si="16"/>
        <v>41472.276000000005</v>
      </c>
      <c r="I106" s="1">
        <f>'Cesiones Indiv y Colecti VIII'!Q3</f>
        <v>20062.420999999995</v>
      </c>
      <c r="J106" s="1"/>
      <c r="K106" s="1">
        <f t="shared" si="15"/>
        <v>21409.85500000001</v>
      </c>
      <c r="L106" s="32">
        <f t="shared" si="17"/>
        <v>0.48375500298078633</v>
      </c>
      <c r="M106" s="1" t="s">
        <v>263</v>
      </c>
    </row>
    <row r="107" spans="2:14">
      <c r="C107" s="167"/>
      <c r="D107" s="34" t="s">
        <v>224</v>
      </c>
      <c r="E107" s="26" t="s">
        <v>18</v>
      </c>
      <c r="F107" s="40">
        <f>SUM(F23:F105)</f>
        <v>168463.92400000003</v>
      </c>
      <c r="G107" s="40">
        <f>SUM(G23:G105)</f>
        <v>-2149.7269999999999</v>
      </c>
      <c r="H107" s="76">
        <f>F107+G107</f>
        <v>166314.19700000001</v>
      </c>
      <c r="I107">
        <f>SUM(I23:I105)</f>
        <v>70633.411999999997</v>
      </c>
      <c r="K107" s="1">
        <f t="shared" si="15"/>
        <v>95680.785000000018</v>
      </c>
      <c r="L107" s="35">
        <f t="shared" si="17"/>
        <v>0.42469863231218913</v>
      </c>
      <c r="M107" t="s">
        <v>263</v>
      </c>
    </row>
    <row r="109" spans="2:14" ht="16.5" customHeight="1">
      <c r="C109" s="168" t="s">
        <v>42</v>
      </c>
      <c r="D109" s="11" t="s">
        <v>238</v>
      </c>
      <c r="E109" s="1" t="s">
        <v>18</v>
      </c>
      <c r="F109" s="1">
        <v>2625</v>
      </c>
      <c r="G109" s="1"/>
      <c r="H109" s="1">
        <f>F109+G109</f>
        <v>2625</v>
      </c>
      <c r="I109" s="52">
        <v>1453.922</v>
      </c>
      <c r="J109" s="1"/>
      <c r="K109" s="1">
        <f t="shared" si="15"/>
        <v>1171.078</v>
      </c>
      <c r="L109" s="3">
        <f>I109/H109</f>
        <v>0.5538750476190476</v>
      </c>
      <c r="M109" s="27">
        <v>45429</v>
      </c>
      <c r="N109" s="28"/>
    </row>
    <row r="110" spans="2:14" ht="20.25" customHeight="1">
      <c r="C110" s="169"/>
      <c r="D110" s="11" t="s">
        <v>196</v>
      </c>
      <c r="E110" s="1" t="s">
        <v>18</v>
      </c>
      <c r="F110" s="1"/>
      <c r="G110" s="1">
        <f>84+50+90+472+127+400+630.129+570+100</f>
        <v>2523.1289999999999</v>
      </c>
      <c r="H110" s="1">
        <f>F110+G110</f>
        <v>2523.1289999999999</v>
      </c>
      <c r="I110" s="1">
        <f>'Cesiones Ind IX-XIV'!R3</f>
        <v>156.596</v>
      </c>
      <c r="J110" s="1"/>
      <c r="K110" s="1">
        <f t="shared" si="15"/>
        <v>2366.5329999999999</v>
      </c>
      <c r="L110" s="32">
        <f>I110/H110</f>
        <v>6.206420678451241E-2</v>
      </c>
      <c r="M110" s="1" t="s">
        <v>263</v>
      </c>
    </row>
    <row r="111" spans="2:14" ht="20.25" customHeight="1">
      <c r="C111" s="169"/>
      <c r="D111" s="11" t="s">
        <v>225</v>
      </c>
      <c r="E111" s="1" t="s">
        <v>18</v>
      </c>
      <c r="F111" s="1">
        <f>SUM(F109)</f>
        <v>2625</v>
      </c>
      <c r="G111" s="1">
        <f>SUM(G109)</f>
        <v>0</v>
      </c>
      <c r="H111" s="1">
        <f>F111+G111</f>
        <v>2625</v>
      </c>
      <c r="I111" s="1">
        <f>SUM(I109)</f>
        <v>1453.922</v>
      </c>
      <c r="J111" s="1">
        <f>J109+J110</f>
        <v>0</v>
      </c>
      <c r="K111" s="1">
        <f t="shared" si="15"/>
        <v>1171.078</v>
      </c>
      <c r="L111" s="32">
        <f>I111/H111</f>
        <v>0.5538750476190476</v>
      </c>
      <c r="M111" s="1" t="s">
        <v>263</v>
      </c>
    </row>
    <row r="113" spans="2:13" ht="15" customHeight="1">
      <c r="B113">
        <v>1</v>
      </c>
      <c r="C113" s="164" t="s">
        <v>43</v>
      </c>
      <c r="D113" s="11" t="s">
        <v>110</v>
      </c>
      <c r="E113" s="1" t="s">
        <v>18</v>
      </c>
      <c r="F113" s="1">
        <v>617.09299999999996</v>
      </c>
      <c r="G113" s="1">
        <f>-170-100</f>
        <v>-270</v>
      </c>
      <c r="H113" s="1">
        <f>F113+G113</f>
        <v>347.09299999999996</v>
      </c>
      <c r="I113" s="146">
        <v>160.828</v>
      </c>
      <c r="J113" s="1"/>
      <c r="K113" s="1">
        <f t="shared" si="15"/>
        <v>186.26499999999996</v>
      </c>
      <c r="L113" s="3">
        <f>(I113+J113)/H113</f>
        <v>0.4633570829719989</v>
      </c>
      <c r="M113" s="66" t="s">
        <v>263</v>
      </c>
    </row>
    <row r="114" spans="2:13">
      <c r="B114">
        <v>2</v>
      </c>
      <c r="C114" s="165"/>
      <c r="D114" s="11" t="s">
        <v>111</v>
      </c>
      <c r="E114" s="1" t="s">
        <v>18</v>
      </c>
      <c r="F114" s="1">
        <v>1255.5519999999999</v>
      </c>
      <c r="G114" s="1">
        <f>-365.855</f>
        <v>-365.85500000000002</v>
      </c>
      <c r="H114" s="1">
        <f>F114+G114</f>
        <v>889.69699999999989</v>
      </c>
      <c r="I114" s="146">
        <v>685.47300000000007</v>
      </c>
      <c r="J114" s="1"/>
      <c r="K114" s="1">
        <f>H114-(I114+J114)</f>
        <v>204.22399999999982</v>
      </c>
      <c r="L114" s="3">
        <f>(I114+J114)/H114</f>
        <v>0.77045668356755181</v>
      </c>
      <c r="M114" s="27"/>
    </row>
    <row r="115" spans="2:13">
      <c r="B115">
        <v>3</v>
      </c>
      <c r="C115" s="165"/>
      <c r="D115" s="11" t="s">
        <v>339</v>
      </c>
      <c r="E115" s="1" t="s">
        <v>18</v>
      </c>
      <c r="F115" s="134">
        <v>1588.259</v>
      </c>
      <c r="G115" s="1"/>
      <c r="H115" s="1">
        <f>F115+G115</f>
        <v>1588.259</v>
      </c>
      <c r="I115" s="146">
        <v>1496.375</v>
      </c>
      <c r="J115" s="1"/>
      <c r="K115" s="1">
        <f>H115-(I115+J115)</f>
        <v>91.884000000000015</v>
      </c>
      <c r="L115" s="3">
        <f>(I115+J115)/H115</f>
        <v>0.94214797460615685</v>
      </c>
      <c r="M115" s="27"/>
    </row>
    <row r="116" spans="2:13">
      <c r="B116">
        <v>4</v>
      </c>
      <c r="C116" s="165"/>
      <c r="D116" s="11" t="s">
        <v>611</v>
      </c>
      <c r="E116" s="1" t="s">
        <v>18</v>
      </c>
      <c r="F116" s="1">
        <v>1286.867</v>
      </c>
      <c r="G116" s="1">
        <f>-225</f>
        <v>-225</v>
      </c>
      <c r="H116" s="1">
        <f t="shared" ref="H116:H124" si="18">F116+G116</f>
        <v>1061.867</v>
      </c>
      <c r="I116" s="146">
        <v>656.45400000000006</v>
      </c>
      <c r="J116" s="1"/>
      <c r="K116" s="1">
        <f t="shared" si="15"/>
        <v>405.4129999999999</v>
      </c>
      <c r="L116" s="3">
        <f t="shared" ref="L116:L125" si="19">(I116+J116)/H116</f>
        <v>0.61820736495248474</v>
      </c>
      <c r="M116" s="66" t="s">
        <v>263</v>
      </c>
    </row>
    <row r="117" spans="2:13">
      <c r="B117">
        <v>5</v>
      </c>
      <c r="C117" s="165"/>
      <c r="D117" s="11" t="s">
        <v>113</v>
      </c>
      <c r="E117" s="1" t="s">
        <v>18</v>
      </c>
      <c r="F117" s="1">
        <v>6550.3280000000004</v>
      </c>
      <c r="G117" s="1">
        <f>-50+100</f>
        <v>50</v>
      </c>
      <c r="H117" s="1">
        <f t="shared" si="18"/>
        <v>6600.3280000000004</v>
      </c>
      <c r="I117" s="146">
        <v>3873.4259999999995</v>
      </c>
      <c r="J117" s="1"/>
      <c r="K117" s="1">
        <f t="shared" si="15"/>
        <v>2726.902000000001</v>
      </c>
      <c r="L117" s="3">
        <f t="shared" si="19"/>
        <v>0.58685356242901854</v>
      </c>
      <c r="M117" s="66" t="s">
        <v>263</v>
      </c>
    </row>
    <row r="118" spans="2:13">
      <c r="B118">
        <v>6</v>
      </c>
      <c r="C118" s="165"/>
      <c r="D118" s="11" t="s">
        <v>114</v>
      </c>
      <c r="E118" s="1" t="s">
        <v>18</v>
      </c>
      <c r="F118" s="1">
        <v>1439.287</v>
      </c>
      <c r="G118" s="1">
        <f>-358</f>
        <v>-358</v>
      </c>
      <c r="H118" s="1">
        <f t="shared" si="18"/>
        <v>1081.287</v>
      </c>
      <c r="I118" s="146">
        <v>766.97500000000002</v>
      </c>
      <c r="J118" s="1"/>
      <c r="K118" s="1">
        <f t="shared" si="15"/>
        <v>314.31200000000001</v>
      </c>
      <c r="L118" s="3">
        <f t="shared" si="19"/>
        <v>0.7093167678886364</v>
      </c>
      <c r="M118" s="27"/>
    </row>
    <row r="119" spans="2:13">
      <c r="B119">
        <v>7</v>
      </c>
      <c r="C119" s="165"/>
      <c r="D119" s="11" t="s">
        <v>612</v>
      </c>
      <c r="E119" s="1" t="s">
        <v>18</v>
      </c>
      <c r="F119" s="1">
        <v>965.40599999999995</v>
      </c>
      <c r="G119" s="1"/>
      <c r="H119" s="1">
        <f t="shared" si="18"/>
        <v>965.40599999999995</v>
      </c>
      <c r="I119" s="146">
        <v>551.99400000000003</v>
      </c>
      <c r="J119" s="1"/>
      <c r="K119" s="1">
        <f t="shared" si="15"/>
        <v>413.41199999999992</v>
      </c>
      <c r="L119" s="3">
        <f t="shared" si="19"/>
        <v>0.57177394795557523</v>
      </c>
      <c r="M119" s="66" t="s">
        <v>263</v>
      </c>
    </row>
    <row r="120" spans="2:13">
      <c r="B120">
        <v>8</v>
      </c>
      <c r="C120" s="165"/>
      <c r="D120" s="11" t="s">
        <v>613</v>
      </c>
      <c r="E120" s="1" t="s">
        <v>18</v>
      </c>
      <c r="F120" s="1">
        <v>1123.5630000000001</v>
      </c>
      <c r="G120" s="1"/>
      <c r="H120" s="1">
        <f t="shared" si="18"/>
        <v>1123.5630000000001</v>
      </c>
      <c r="I120" s="146">
        <v>872.92100000000016</v>
      </c>
      <c r="J120" s="1"/>
      <c r="K120" s="1">
        <f t="shared" si="15"/>
        <v>250.64199999999994</v>
      </c>
      <c r="L120" s="3">
        <f t="shared" si="19"/>
        <v>0.77692216635827283</v>
      </c>
      <c r="M120" s="27" t="s">
        <v>263</v>
      </c>
    </row>
    <row r="121" spans="2:13">
      <c r="B121">
        <v>9</v>
      </c>
      <c r="C121" s="165"/>
      <c r="D121" s="11" t="s">
        <v>117</v>
      </c>
      <c r="E121" s="1" t="s">
        <v>18</v>
      </c>
      <c r="F121" s="1">
        <v>418.98099999999999</v>
      </c>
      <c r="G121" s="1">
        <f>-200</f>
        <v>-200</v>
      </c>
      <c r="H121" s="1">
        <f t="shared" si="18"/>
        <v>218.98099999999999</v>
      </c>
      <c r="I121" s="146">
        <v>0.01</v>
      </c>
      <c r="J121" s="1"/>
      <c r="K121" s="1">
        <f t="shared" si="15"/>
        <v>218.971</v>
      </c>
      <c r="L121" s="3">
        <f t="shared" si="19"/>
        <v>4.5666062352441535E-5</v>
      </c>
      <c r="M121" s="66" t="s">
        <v>263</v>
      </c>
    </row>
    <row r="122" spans="2:13">
      <c r="B122">
        <v>10</v>
      </c>
      <c r="C122" s="165"/>
      <c r="D122" s="11" t="s">
        <v>614</v>
      </c>
      <c r="E122" s="1" t="s">
        <v>18</v>
      </c>
      <c r="F122" s="1">
        <v>408.73500000000001</v>
      </c>
      <c r="G122" s="1">
        <f>-247.1</f>
        <v>-247.1</v>
      </c>
      <c r="H122" s="1">
        <f t="shared" si="18"/>
        <v>161.63500000000002</v>
      </c>
      <c r="I122" s="146">
        <v>77.784999999999997</v>
      </c>
      <c r="J122" s="1"/>
      <c r="K122" s="1">
        <f t="shared" si="15"/>
        <v>83.850000000000023</v>
      </c>
      <c r="L122" s="3">
        <f t="shared" si="19"/>
        <v>0.48123859312648859</v>
      </c>
      <c r="M122" s="27"/>
    </row>
    <row r="123" spans="2:13">
      <c r="B123">
        <v>11</v>
      </c>
      <c r="C123" s="165"/>
      <c r="D123" s="11" t="s">
        <v>119</v>
      </c>
      <c r="E123" s="1" t="s">
        <v>18</v>
      </c>
      <c r="F123" s="1">
        <v>163.941</v>
      </c>
      <c r="G123" s="1"/>
      <c r="H123" s="1">
        <f t="shared" si="18"/>
        <v>163.941</v>
      </c>
      <c r="I123" s="146">
        <v>109.289</v>
      </c>
      <c r="J123" s="1"/>
      <c r="K123" s="1">
        <f t="shared" si="15"/>
        <v>54.652000000000001</v>
      </c>
      <c r="L123" s="3">
        <f t="shared" si="19"/>
        <v>0.66663616788966762</v>
      </c>
      <c r="M123" s="66" t="s">
        <v>263</v>
      </c>
    </row>
    <row r="124" spans="2:13">
      <c r="C124" s="165"/>
      <c r="D124" s="11" t="s">
        <v>196</v>
      </c>
      <c r="E124" s="1" t="s">
        <v>18</v>
      </c>
      <c r="F124" s="1"/>
      <c r="G124" s="1">
        <f>150+232.475+250+170+290+210+50+50+674.178+120+120+1920+1500+120+120+40+100+435+200+225</f>
        <v>6976.6530000000002</v>
      </c>
      <c r="H124" s="1">
        <f t="shared" si="18"/>
        <v>6976.6530000000002</v>
      </c>
      <c r="I124" s="147">
        <f>'Cesiones Ind IX-XIV'!T3</f>
        <v>1592.6469999999997</v>
      </c>
      <c r="J124" s="1"/>
      <c r="K124" s="1">
        <f t="shared" si="15"/>
        <v>5384.0060000000003</v>
      </c>
      <c r="L124" s="32">
        <f t="shared" si="19"/>
        <v>0.22828238698413117</v>
      </c>
      <c r="M124" s="66" t="s">
        <v>263</v>
      </c>
    </row>
    <row r="125" spans="2:13">
      <c r="C125" s="165"/>
      <c r="D125" s="11" t="s">
        <v>226</v>
      </c>
      <c r="E125" s="1" t="s">
        <v>18</v>
      </c>
      <c r="F125" s="1">
        <f>SUM(F113:F123)</f>
        <v>15818.012000000002</v>
      </c>
      <c r="G125" s="1">
        <f>SUM(G113:G123)</f>
        <v>-1615.9549999999999</v>
      </c>
      <c r="H125" s="1">
        <f>F125+G125</f>
        <v>14202.057000000003</v>
      </c>
      <c r="I125" s="1">
        <f>SUM(I113:I123)</f>
        <v>9251.5300000000007</v>
      </c>
      <c r="J125" s="1"/>
      <c r="K125" s="1">
        <f t="shared" si="15"/>
        <v>4950.5270000000019</v>
      </c>
      <c r="L125" s="3">
        <f t="shared" si="19"/>
        <v>0.65142183276690124</v>
      </c>
      <c r="M125" s="1" t="s">
        <v>263</v>
      </c>
    </row>
    <row r="127" spans="2:13" ht="15" customHeight="1">
      <c r="B127">
        <v>1</v>
      </c>
      <c r="C127" s="164" t="s">
        <v>44</v>
      </c>
      <c r="D127" s="14" t="s">
        <v>103</v>
      </c>
      <c r="E127" s="1" t="s">
        <v>18</v>
      </c>
      <c r="F127" s="67">
        <v>556.85900000000004</v>
      </c>
      <c r="G127" s="1">
        <f>-100-184.923-90-30</f>
        <v>-404.923</v>
      </c>
      <c r="H127" s="1">
        <f>F127+G127</f>
        <v>151.93600000000004</v>
      </c>
      <c r="I127" s="52">
        <v>1</v>
      </c>
      <c r="J127" s="1"/>
      <c r="K127" s="1">
        <f t="shared" si="15"/>
        <v>150.93600000000004</v>
      </c>
      <c r="L127" s="3">
        <f>I127/H127</f>
        <v>6.5817186183656264E-3</v>
      </c>
      <c r="M127" s="1" t="s">
        <v>263</v>
      </c>
    </row>
    <row r="128" spans="2:13">
      <c r="B128">
        <v>2</v>
      </c>
      <c r="C128" s="165"/>
      <c r="D128" s="14" t="s">
        <v>104</v>
      </c>
      <c r="E128" s="1" t="s">
        <v>18</v>
      </c>
      <c r="F128" s="67">
        <v>1987.1030000000001</v>
      </c>
      <c r="G128" s="1">
        <f>-350-100</f>
        <v>-450</v>
      </c>
      <c r="H128" s="1">
        <f t="shared" ref="H128:H137" si="20">F128+G128</f>
        <v>1537.1030000000001</v>
      </c>
      <c r="I128" s="52">
        <v>37.152999999999999</v>
      </c>
      <c r="J128" s="1"/>
      <c r="K128" s="1">
        <f t="shared" si="15"/>
        <v>1499.95</v>
      </c>
      <c r="L128" s="3">
        <f t="shared" ref="L128:L139" si="21">I128/H128</f>
        <v>2.4170794019659058E-2</v>
      </c>
      <c r="M128" s="1" t="s">
        <v>263</v>
      </c>
    </row>
    <row r="129" spans="2:13">
      <c r="B129">
        <v>3</v>
      </c>
      <c r="C129" s="165"/>
      <c r="D129" s="14" t="s">
        <v>252</v>
      </c>
      <c r="E129" s="1" t="s">
        <v>18</v>
      </c>
      <c r="F129" s="67">
        <v>2345.748</v>
      </c>
      <c r="G129" s="1">
        <f>-119-143-343-143</f>
        <v>-748</v>
      </c>
      <c r="H129" s="1">
        <f t="shared" si="20"/>
        <v>1597.748</v>
      </c>
      <c r="I129" s="52">
        <v>134.85900000000001</v>
      </c>
      <c r="J129" s="1"/>
      <c r="K129" s="1">
        <f t="shared" si="15"/>
        <v>1462.8890000000001</v>
      </c>
      <c r="L129" s="3">
        <f t="shared" si="21"/>
        <v>8.4405675988954459E-2</v>
      </c>
      <c r="M129" s="1" t="s">
        <v>263</v>
      </c>
    </row>
    <row r="130" spans="2:13">
      <c r="B130">
        <v>4</v>
      </c>
      <c r="C130" s="165"/>
      <c r="D130" s="14" t="s">
        <v>105</v>
      </c>
      <c r="E130" s="1" t="s">
        <v>18</v>
      </c>
      <c r="F130" s="67">
        <v>729.61800000000005</v>
      </c>
      <c r="G130" s="1">
        <f>-518.57</f>
        <v>-518.57000000000005</v>
      </c>
      <c r="H130" s="1">
        <f t="shared" si="20"/>
        <v>211.048</v>
      </c>
      <c r="I130" s="52">
        <v>0</v>
      </c>
      <c r="J130" s="1"/>
      <c r="K130" s="1">
        <f t="shared" si="15"/>
        <v>211.048</v>
      </c>
      <c r="L130" s="3">
        <f t="shared" si="21"/>
        <v>0</v>
      </c>
      <c r="M130" s="27"/>
    </row>
    <row r="131" spans="2:13">
      <c r="B131">
        <v>5</v>
      </c>
      <c r="C131" s="165"/>
      <c r="D131" s="14" t="s">
        <v>290</v>
      </c>
      <c r="E131" s="1" t="s">
        <v>18</v>
      </c>
      <c r="F131" s="67">
        <v>766.65899999999999</v>
      </c>
      <c r="G131" s="1">
        <f>-200-300</f>
        <v>-500</v>
      </c>
      <c r="H131" s="1">
        <f t="shared" si="20"/>
        <v>266.65899999999999</v>
      </c>
      <c r="I131" s="52">
        <v>19.119999999999997</v>
      </c>
      <c r="J131" s="1"/>
      <c r="K131" s="1">
        <f t="shared" si="15"/>
        <v>247.53899999999999</v>
      </c>
      <c r="L131" s="3">
        <f t="shared" si="21"/>
        <v>7.1702061434266232E-2</v>
      </c>
      <c r="M131" s="1" t="s">
        <v>263</v>
      </c>
    </row>
    <row r="132" spans="2:13">
      <c r="B132">
        <v>6</v>
      </c>
      <c r="C132" s="165"/>
      <c r="D132" s="14" t="s">
        <v>291</v>
      </c>
      <c r="E132" s="1" t="s">
        <v>18</v>
      </c>
      <c r="F132" s="67">
        <v>159.36000000000001</v>
      </c>
      <c r="G132" s="1"/>
      <c r="H132" s="1">
        <f t="shared" si="20"/>
        <v>159.36000000000001</v>
      </c>
      <c r="I132" s="52">
        <v>0</v>
      </c>
      <c r="J132" s="1"/>
      <c r="K132" s="1">
        <f t="shared" si="15"/>
        <v>159.36000000000001</v>
      </c>
      <c r="L132" s="3">
        <f t="shared" si="21"/>
        <v>0</v>
      </c>
      <c r="M132" s="1" t="s">
        <v>263</v>
      </c>
    </row>
    <row r="133" spans="2:13">
      <c r="B133">
        <v>7</v>
      </c>
      <c r="C133" s="165"/>
      <c r="D133" s="14" t="s">
        <v>106</v>
      </c>
      <c r="E133" s="1" t="s">
        <v>18</v>
      </c>
      <c r="F133" s="67">
        <v>384.255</v>
      </c>
      <c r="G133" s="1">
        <f>-84-70</f>
        <v>-154</v>
      </c>
      <c r="H133" s="1">
        <f t="shared" si="20"/>
        <v>230.255</v>
      </c>
      <c r="I133" s="52">
        <v>0</v>
      </c>
      <c r="J133" s="1"/>
      <c r="K133" s="29">
        <f t="shared" si="15"/>
        <v>230.255</v>
      </c>
      <c r="L133" s="3">
        <f>(G133/F133)*-1</f>
        <v>0.40077552666848837</v>
      </c>
      <c r="M133" s="1" t="s">
        <v>263</v>
      </c>
    </row>
    <row r="134" spans="2:13">
      <c r="B134">
        <v>8</v>
      </c>
      <c r="C134" s="165"/>
      <c r="D134" s="14" t="s">
        <v>107</v>
      </c>
      <c r="E134" s="1" t="s">
        <v>18</v>
      </c>
      <c r="F134" s="67">
        <v>2000.288</v>
      </c>
      <c r="G134" s="1">
        <f>-978.158-150</f>
        <v>-1128.1579999999999</v>
      </c>
      <c r="H134" s="1">
        <f t="shared" si="20"/>
        <v>872.13000000000011</v>
      </c>
      <c r="I134" s="52">
        <v>25.582000000000001</v>
      </c>
      <c r="J134" s="1"/>
      <c r="K134" s="1">
        <f t="shared" si="15"/>
        <v>846.54800000000012</v>
      </c>
      <c r="L134" s="3">
        <f t="shared" si="21"/>
        <v>2.9332782956669301E-2</v>
      </c>
      <c r="M134" s="1" t="s">
        <v>263</v>
      </c>
    </row>
    <row r="135" spans="2:13">
      <c r="B135">
        <v>9</v>
      </c>
      <c r="C135" s="165"/>
      <c r="D135" s="14" t="s">
        <v>340</v>
      </c>
      <c r="E135" s="1" t="s">
        <v>18</v>
      </c>
      <c r="F135" s="67">
        <v>227.351</v>
      </c>
      <c r="G135" s="1">
        <f>-120</f>
        <v>-120</v>
      </c>
      <c r="H135" s="1">
        <f t="shared" si="20"/>
        <v>107.351</v>
      </c>
      <c r="I135" s="52">
        <v>0</v>
      </c>
      <c r="J135" s="1"/>
      <c r="K135" s="1">
        <f t="shared" si="15"/>
        <v>107.351</v>
      </c>
      <c r="L135" s="3">
        <f t="shared" si="21"/>
        <v>0</v>
      </c>
      <c r="M135" s="1"/>
    </row>
    <row r="136" spans="2:13" ht="30">
      <c r="B136">
        <v>10</v>
      </c>
      <c r="C136" s="165"/>
      <c r="D136" s="14" t="s">
        <v>108</v>
      </c>
      <c r="E136" s="1" t="s">
        <v>18</v>
      </c>
      <c r="F136" s="67">
        <v>339.83699999999999</v>
      </c>
      <c r="G136" s="1">
        <f>-254</f>
        <v>-254</v>
      </c>
      <c r="H136" s="1">
        <f t="shared" si="20"/>
        <v>85.836999999999989</v>
      </c>
      <c r="I136" s="52">
        <v>0</v>
      </c>
      <c r="J136" s="1"/>
      <c r="K136" s="1">
        <f t="shared" si="15"/>
        <v>85.836999999999989</v>
      </c>
      <c r="L136" s="3">
        <f t="shared" si="21"/>
        <v>0</v>
      </c>
      <c r="M136" s="1" t="s">
        <v>263</v>
      </c>
    </row>
    <row r="137" spans="2:13">
      <c r="B137">
        <v>11</v>
      </c>
      <c r="C137" s="165"/>
      <c r="D137" s="14" t="s">
        <v>109</v>
      </c>
      <c r="E137" s="1" t="s">
        <v>18</v>
      </c>
      <c r="F137" s="67">
        <v>247.923</v>
      </c>
      <c r="G137" s="1"/>
      <c r="H137" s="1">
        <f t="shared" si="20"/>
        <v>247.923</v>
      </c>
      <c r="I137" s="52">
        <v>117.244</v>
      </c>
      <c r="J137" s="1"/>
      <c r="K137" s="1">
        <f t="shared" si="15"/>
        <v>130.679</v>
      </c>
      <c r="L137" s="3">
        <f t="shared" si="21"/>
        <v>0.47290489385817369</v>
      </c>
      <c r="M137" s="27"/>
    </row>
    <row r="138" spans="2:13">
      <c r="C138" s="165"/>
      <c r="D138" s="14" t="s">
        <v>196</v>
      </c>
      <c r="E138" s="1" t="s">
        <v>18</v>
      </c>
      <c r="F138" s="1"/>
      <c r="G138" s="1"/>
      <c r="H138" s="1">
        <f>F138+G138</f>
        <v>0</v>
      </c>
      <c r="I138" s="52"/>
      <c r="J138" s="1"/>
      <c r="K138" s="1">
        <f t="shared" ref="K138" si="22">H138-(I138+J138)</f>
        <v>0</v>
      </c>
      <c r="L138" s="3" t="e">
        <f t="shared" ref="L138" si="23">I138/H138</f>
        <v>#DIV/0!</v>
      </c>
      <c r="M138" s="1" t="s">
        <v>263</v>
      </c>
    </row>
    <row r="139" spans="2:13">
      <c r="C139" s="165"/>
      <c r="D139" s="14" t="s">
        <v>227</v>
      </c>
      <c r="E139" s="1" t="s">
        <v>18</v>
      </c>
      <c r="F139" s="1">
        <f>SUM(F127:F137)</f>
        <v>9745.0010000000002</v>
      </c>
      <c r="G139" s="1">
        <f>SUM(G127:G138)</f>
        <v>-4277.6509999999998</v>
      </c>
      <c r="H139" s="1">
        <f>F139+G139</f>
        <v>5467.35</v>
      </c>
      <c r="I139" s="1">
        <f>SUM(I127:I138)</f>
        <v>334.95799999999997</v>
      </c>
      <c r="J139" s="1"/>
      <c r="K139" s="1">
        <f t="shared" si="15"/>
        <v>5132.3920000000007</v>
      </c>
      <c r="L139" s="32">
        <f t="shared" si="21"/>
        <v>6.1265146734706934E-2</v>
      </c>
      <c r="M139" s="1" t="s">
        <v>263</v>
      </c>
    </row>
    <row r="141" spans="2:13">
      <c r="G141" s="123">
        <f>SUM(G7:G137)</f>
        <v>18083.550999999999</v>
      </c>
    </row>
  </sheetData>
  <mergeCells count="9">
    <mergeCell ref="C113:C125"/>
    <mergeCell ref="C23:C107"/>
    <mergeCell ref="C109:C111"/>
    <mergeCell ref="C127:C139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B2:N138"/>
  <sheetViews>
    <sheetView zoomScaleNormal="100" workbookViewId="0">
      <pane ySplit="5" topLeftCell="A93" activePane="bottomLeft" state="frozen"/>
      <selection pane="bottomLeft" activeCell="I104" sqref="I104"/>
    </sheetView>
  </sheetViews>
  <sheetFormatPr baseColWidth="10" defaultRowHeight="15"/>
  <cols>
    <col min="1" max="1" width="7.5703125" style="62" customWidth="1"/>
    <col min="2" max="2" width="7.42578125" style="62" customWidth="1"/>
    <col min="3" max="3" width="14.42578125" style="62" customWidth="1"/>
    <col min="4" max="4" width="38.28515625" style="62" customWidth="1"/>
    <col min="5" max="5" width="8" style="62" bestFit="1" customWidth="1"/>
    <col min="6" max="6" width="14.85546875" style="62" bestFit="1" customWidth="1"/>
    <col min="7" max="7" width="12" style="62" bestFit="1" customWidth="1"/>
    <col min="8" max="8" width="13.85546875" style="62" bestFit="1" customWidth="1"/>
    <col min="9" max="9" width="14.85546875" style="62" customWidth="1"/>
    <col min="10" max="11" width="11.42578125" style="62"/>
    <col min="12" max="12" width="15.85546875" style="62" customWidth="1"/>
    <col min="13" max="16384" width="11.42578125" style="62"/>
  </cols>
  <sheetData>
    <row r="2" spans="2:13" ht="18.75">
      <c r="C2" s="185" t="s">
        <v>332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2:13">
      <c r="C3" s="186">
        <f>RESUMEN!B3</f>
        <v>45483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5" spans="2:13" ht="30">
      <c r="C5" s="80" t="s">
        <v>37</v>
      </c>
      <c r="D5" s="80" t="s">
        <v>34</v>
      </c>
      <c r="E5" s="80" t="s">
        <v>0</v>
      </c>
      <c r="F5" s="80" t="s">
        <v>1</v>
      </c>
      <c r="G5" s="80" t="s">
        <v>2</v>
      </c>
      <c r="H5" s="80" t="s">
        <v>3</v>
      </c>
      <c r="I5" s="80" t="s">
        <v>4</v>
      </c>
      <c r="J5" s="81" t="s">
        <v>151</v>
      </c>
      <c r="K5" s="80" t="s">
        <v>5</v>
      </c>
      <c r="L5" s="80" t="s">
        <v>6</v>
      </c>
      <c r="M5" s="82" t="s">
        <v>36</v>
      </c>
    </row>
    <row r="7" spans="2:13">
      <c r="B7" s="62">
        <v>1</v>
      </c>
      <c r="C7" s="180" t="s">
        <v>38</v>
      </c>
      <c r="D7" s="85" t="s">
        <v>123</v>
      </c>
      <c r="E7" s="67" t="s">
        <v>18</v>
      </c>
      <c r="F7" s="67">
        <v>2510.4340000000002</v>
      </c>
      <c r="G7" s="67">
        <f>-2510.434</f>
        <v>-2510.4340000000002</v>
      </c>
      <c r="H7" s="67">
        <f t="shared" ref="H7:H13" si="0">F7+G7</f>
        <v>0</v>
      </c>
      <c r="I7" s="67"/>
      <c r="J7" s="67"/>
      <c r="K7" s="67">
        <f t="shared" ref="K7:K13" si="1">H7-(I7+J7)</f>
        <v>0</v>
      </c>
      <c r="L7" s="86">
        <f>(G7/F7)*-1</f>
        <v>1</v>
      </c>
      <c r="M7" s="77"/>
    </row>
    <row r="8" spans="2:13">
      <c r="B8" s="62">
        <v>2</v>
      </c>
      <c r="C8" s="181"/>
      <c r="D8" s="85" t="s">
        <v>262</v>
      </c>
      <c r="E8" s="67" t="s">
        <v>18</v>
      </c>
      <c r="F8" s="67">
        <v>517.22299999999996</v>
      </c>
      <c r="G8" s="67">
        <f>-517.223</f>
        <v>-517.22299999999996</v>
      </c>
      <c r="H8" s="67">
        <f t="shared" si="0"/>
        <v>0</v>
      </c>
      <c r="I8" s="67"/>
      <c r="J8" s="67"/>
      <c r="K8" s="67">
        <f t="shared" si="1"/>
        <v>0</v>
      </c>
      <c r="L8" s="86">
        <f>(G8/F8)*-1</f>
        <v>1</v>
      </c>
      <c r="M8" s="77"/>
    </row>
    <row r="9" spans="2:13">
      <c r="B9">
        <v>3</v>
      </c>
      <c r="C9" s="181"/>
      <c r="D9" s="85" t="s">
        <v>249</v>
      </c>
      <c r="E9" s="67" t="s">
        <v>18</v>
      </c>
      <c r="F9" s="67">
        <v>29.111000000000001</v>
      </c>
      <c r="G9" s="67"/>
      <c r="H9" s="67">
        <f t="shared" si="0"/>
        <v>29.111000000000001</v>
      </c>
      <c r="I9" s="88"/>
      <c r="J9" s="67"/>
      <c r="K9" s="67">
        <f t="shared" si="1"/>
        <v>29.111000000000001</v>
      </c>
      <c r="L9" s="86">
        <f t="shared" ref="L9:L13" si="2">I9/H9</f>
        <v>0</v>
      </c>
      <c r="M9" s="67" t="s">
        <v>263</v>
      </c>
    </row>
    <row r="10" spans="2:13">
      <c r="B10" s="62">
        <v>4</v>
      </c>
      <c r="C10" s="181"/>
      <c r="D10" s="85" t="s">
        <v>250</v>
      </c>
      <c r="E10" s="67" t="s">
        <v>18</v>
      </c>
      <c r="F10" s="67">
        <v>1.569</v>
      </c>
      <c r="G10" s="67"/>
      <c r="H10" s="67">
        <f t="shared" si="0"/>
        <v>1.569</v>
      </c>
      <c r="I10" s="88"/>
      <c r="J10" s="67"/>
      <c r="K10" s="67">
        <f t="shared" si="1"/>
        <v>1.569</v>
      </c>
      <c r="L10" s="86">
        <f t="shared" si="2"/>
        <v>0</v>
      </c>
      <c r="M10" s="67" t="s">
        <v>263</v>
      </c>
    </row>
    <row r="11" spans="2:13">
      <c r="B11" s="62">
        <v>5</v>
      </c>
      <c r="C11" s="181"/>
      <c r="D11" s="85" t="s">
        <v>124</v>
      </c>
      <c r="E11" s="67" t="s">
        <v>18</v>
      </c>
      <c r="F11" s="67">
        <v>2.516</v>
      </c>
      <c r="G11" s="67"/>
      <c r="H11" s="67">
        <f t="shared" si="0"/>
        <v>2.516</v>
      </c>
      <c r="I11" s="67"/>
      <c r="J11" s="67"/>
      <c r="K11" s="67">
        <f t="shared" si="1"/>
        <v>2.516</v>
      </c>
      <c r="L11" s="86">
        <f t="shared" si="2"/>
        <v>0</v>
      </c>
      <c r="M11" s="67" t="s">
        <v>263</v>
      </c>
    </row>
    <row r="12" spans="2:13">
      <c r="B12" s="62">
        <v>6</v>
      </c>
      <c r="C12" s="181"/>
      <c r="D12" s="85" t="s">
        <v>125</v>
      </c>
      <c r="E12" s="67" t="s">
        <v>18</v>
      </c>
      <c r="F12" s="67">
        <v>150.14699999999999</v>
      </c>
      <c r="G12" s="67"/>
      <c r="H12" s="67">
        <f t="shared" si="0"/>
        <v>150.14699999999999</v>
      </c>
      <c r="I12" s="89">
        <v>17.600000000000001</v>
      </c>
      <c r="J12" s="67"/>
      <c r="K12" s="67">
        <f t="shared" si="1"/>
        <v>132.547</v>
      </c>
      <c r="L12" s="86">
        <f t="shared" si="2"/>
        <v>0.11721845924327494</v>
      </c>
      <c r="M12" s="90" t="s">
        <v>263</v>
      </c>
    </row>
    <row r="13" spans="2:13">
      <c r="C13" s="181"/>
      <c r="D13" s="85" t="s">
        <v>228</v>
      </c>
      <c r="E13" s="67" t="s">
        <v>18</v>
      </c>
      <c r="F13" s="67">
        <f>SUM(F7:F12)</f>
        <v>3211</v>
      </c>
      <c r="G13" s="67">
        <f>SUM(G7:G12)</f>
        <v>-3027.6570000000002</v>
      </c>
      <c r="H13" s="67">
        <f t="shared" si="0"/>
        <v>183.34299999999985</v>
      </c>
      <c r="I13" s="88">
        <f>SUM(I7:I12)</f>
        <v>17.600000000000001</v>
      </c>
      <c r="J13" s="67">
        <f>SUM(J7:J12)</f>
        <v>0</v>
      </c>
      <c r="K13" s="67">
        <f t="shared" si="1"/>
        <v>165.74299999999985</v>
      </c>
      <c r="L13" s="86">
        <f t="shared" si="2"/>
        <v>9.5994938448700065E-2</v>
      </c>
      <c r="M13" s="91" t="s">
        <v>263</v>
      </c>
    </row>
    <row r="15" spans="2:13">
      <c r="C15" s="188" t="s">
        <v>39</v>
      </c>
      <c r="D15" s="85" t="s">
        <v>236</v>
      </c>
      <c r="E15" s="67" t="s">
        <v>18</v>
      </c>
      <c r="F15" s="67">
        <v>76</v>
      </c>
      <c r="G15" s="67"/>
      <c r="H15" s="67">
        <f>F15+G15</f>
        <v>76</v>
      </c>
      <c r="I15" s="88"/>
      <c r="J15" s="67"/>
      <c r="K15" s="67">
        <f>H15-(I15+J15)</f>
        <v>76</v>
      </c>
      <c r="L15" s="67">
        <f>I15/H15</f>
        <v>0</v>
      </c>
      <c r="M15" s="67" t="s">
        <v>263</v>
      </c>
    </row>
    <row r="16" spans="2:13">
      <c r="C16" s="189"/>
      <c r="D16" s="85" t="s">
        <v>222</v>
      </c>
      <c r="E16" s="67" t="s">
        <v>18</v>
      </c>
      <c r="F16" s="67">
        <f>F15</f>
        <v>76</v>
      </c>
      <c r="G16" s="67">
        <f>G15</f>
        <v>0</v>
      </c>
      <c r="H16" s="67">
        <f>F16+G16</f>
        <v>76</v>
      </c>
      <c r="I16" s="67">
        <f>I15</f>
        <v>0</v>
      </c>
      <c r="J16" s="67">
        <f>J15</f>
        <v>0</v>
      </c>
      <c r="K16" s="67">
        <f>H16-(I16+J16)</f>
        <v>76</v>
      </c>
      <c r="L16" s="92">
        <f>I16/H16</f>
        <v>0</v>
      </c>
      <c r="M16" s="67" t="s">
        <v>263</v>
      </c>
    </row>
    <row r="18" spans="2:13">
      <c r="B18" s="62">
        <v>1</v>
      </c>
      <c r="C18" s="180" t="s">
        <v>40</v>
      </c>
      <c r="D18" s="85" t="s">
        <v>120</v>
      </c>
      <c r="E18" s="67" t="s">
        <v>18</v>
      </c>
      <c r="F18" s="67">
        <v>679.029</v>
      </c>
      <c r="G18" s="67"/>
      <c r="H18" s="67">
        <f>F18+G18</f>
        <v>679.029</v>
      </c>
      <c r="I18" s="88"/>
      <c r="J18" s="67"/>
      <c r="K18" s="67">
        <f>H18-(I18+J18)</f>
        <v>679.029</v>
      </c>
      <c r="L18" s="86">
        <f>(G18/F18)*-1</f>
        <v>0</v>
      </c>
      <c r="M18" s="67" t="s">
        <v>263</v>
      </c>
    </row>
    <row r="19" spans="2:13">
      <c r="B19" s="62">
        <v>2</v>
      </c>
      <c r="C19" s="181"/>
      <c r="D19" s="85" t="s">
        <v>121</v>
      </c>
      <c r="E19" s="67" t="s">
        <v>18</v>
      </c>
      <c r="F19" s="67">
        <v>368.16800000000001</v>
      </c>
      <c r="G19" s="67">
        <f>-368.168</f>
        <v>-368.16800000000001</v>
      </c>
      <c r="H19" s="67">
        <f>F19+G19</f>
        <v>0</v>
      </c>
      <c r="I19" s="67"/>
      <c r="J19" s="67"/>
      <c r="K19" s="67">
        <f t="shared" ref="K19:K83" si="3">H19-(I19+J19)</f>
        <v>0</v>
      </c>
      <c r="L19" s="86">
        <f>(G19/F19)*-1</f>
        <v>1</v>
      </c>
      <c r="M19" s="67" t="s">
        <v>263</v>
      </c>
    </row>
    <row r="20" spans="2:13">
      <c r="B20" s="62">
        <v>3</v>
      </c>
      <c r="C20" s="181"/>
      <c r="D20" s="85" t="s">
        <v>122</v>
      </c>
      <c r="E20" s="67" t="s">
        <v>18</v>
      </c>
      <c r="F20" s="67">
        <v>113.80200000000001</v>
      </c>
      <c r="G20" s="67"/>
      <c r="H20" s="67">
        <f>F20+G20</f>
        <v>113.80200000000001</v>
      </c>
      <c r="I20" s="67"/>
      <c r="J20" s="67"/>
      <c r="K20" s="67">
        <f t="shared" si="3"/>
        <v>113.80200000000001</v>
      </c>
      <c r="L20" s="86">
        <f>I20/H20</f>
        <v>0</v>
      </c>
      <c r="M20" s="67" t="s">
        <v>263</v>
      </c>
    </row>
    <row r="21" spans="2:13">
      <c r="C21" s="181"/>
      <c r="D21" s="85" t="s">
        <v>223</v>
      </c>
      <c r="E21" s="67" t="s">
        <v>18</v>
      </c>
      <c r="F21" s="67">
        <f>SUM(F18:F20)</f>
        <v>1160.999</v>
      </c>
      <c r="G21" s="67">
        <f>SUM(G18:G20)</f>
        <v>-368.16800000000001</v>
      </c>
      <c r="H21" s="67">
        <f>F21+G21</f>
        <v>792.83100000000002</v>
      </c>
      <c r="I21" s="67">
        <f>SUM(I18:I20)</f>
        <v>0</v>
      </c>
      <c r="J21" s="67"/>
      <c r="K21" s="67">
        <f t="shared" si="3"/>
        <v>792.83100000000002</v>
      </c>
      <c r="L21" s="92">
        <f>I21/H21</f>
        <v>0</v>
      </c>
      <c r="M21" s="67" t="s">
        <v>263</v>
      </c>
    </row>
    <row r="23" spans="2:13" ht="15" customHeight="1">
      <c r="B23" s="62">
        <v>1</v>
      </c>
      <c r="C23" s="178" t="s">
        <v>41</v>
      </c>
      <c r="D23" s="85" t="s">
        <v>46</v>
      </c>
      <c r="E23" s="67" t="s">
        <v>18</v>
      </c>
      <c r="F23" s="79">
        <v>200.26300000000001</v>
      </c>
      <c r="G23" s="67">
        <f>-79.4</f>
        <v>-79.400000000000006</v>
      </c>
      <c r="H23" s="67">
        <f t="shared" ref="H23:H54" si="4">F23+G23</f>
        <v>120.863</v>
      </c>
      <c r="I23" s="105">
        <v>1.31</v>
      </c>
      <c r="J23" s="67"/>
      <c r="K23" s="67">
        <f t="shared" si="3"/>
        <v>119.553</v>
      </c>
      <c r="L23" s="86">
        <f>I23/H23</f>
        <v>1.083871821814782E-2</v>
      </c>
      <c r="M23" s="27" t="s">
        <v>263</v>
      </c>
    </row>
    <row r="24" spans="2:13">
      <c r="B24" s="62">
        <v>2</v>
      </c>
      <c r="C24" s="179"/>
      <c r="D24" s="85" t="s">
        <v>164</v>
      </c>
      <c r="E24" s="67" t="s">
        <v>18</v>
      </c>
      <c r="F24" s="79">
        <v>221.27600000000001</v>
      </c>
      <c r="G24" s="67"/>
      <c r="H24" s="67">
        <f t="shared" si="4"/>
        <v>221.27600000000001</v>
      </c>
      <c r="I24" s="105">
        <v>75.869000000000014</v>
      </c>
      <c r="J24" s="67"/>
      <c r="K24" s="67">
        <f t="shared" si="3"/>
        <v>145.40699999999998</v>
      </c>
      <c r="L24" s="86">
        <f>I24/H24</f>
        <v>0.34287044234349867</v>
      </c>
      <c r="M24" s="67" t="s">
        <v>263</v>
      </c>
    </row>
    <row r="25" spans="2:13">
      <c r="B25" s="62">
        <v>3</v>
      </c>
      <c r="C25" s="179"/>
      <c r="D25" s="85" t="s">
        <v>47</v>
      </c>
      <c r="E25" s="67" t="s">
        <v>18</v>
      </c>
      <c r="F25" s="79">
        <v>992.303</v>
      </c>
      <c r="G25" s="67"/>
      <c r="H25" s="67">
        <f t="shared" si="4"/>
        <v>992.303</v>
      </c>
      <c r="I25" s="105">
        <v>200.57300000000001</v>
      </c>
      <c r="J25" s="67"/>
      <c r="K25" s="67">
        <f t="shared" si="3"/>
        <v>791.73</v>
      </c>
      <c r="L25" s="86">
        <f t="shared" ref="L25:L89" si="5">I25/H25</f>
        <v>0.20212878526014735</v>
      </c>
      <c r="M25" s="27" t="s">
        <v>263</v>
      </c>
    </row>
    <row r="26" spans="2:13">
      <c r="B26" s="62">
        <v>4</v>
      </c>
      <c r="C26" s="179"/>
      <c r="D26" s="85" t="s">
        <v>48</v>
      </c>
      <c r="E26" s="67" t="s">
        <v>18</v>
      </c>
      <c r="F26" s="79">
        <v>2136.7170000000001</v>
      </c>
      <c r="G26" s="67"/>
      <c r="H26" s="67">
        <f t="shared" si="4"/>
        <v>2136.7170000000001</v>
      </c>
      <c r="I26" s="105">
        <v>452.21100000000001</v>
      </c>
      <c r="J26" s="67"/>
      <c r="K26" s="67">
        <f t="shared" si="3"/>
        <v>1684.5060000000001</v>
      </c>
      <c r="L26" s="86">
        <f t="shared" si="5"/>
        <v>0.21163822817902417</v>
      </c>
      <c r="M26" s="67" t="s">
        <v>263</v>
      </c>
    </row>
    <row r="27" spans="2:13">
      <c r="B27" s="62">
        <v>5</v>
      </c>
      <c r="C27" s="179"/>
      <c r="D27" s="85" t="s">
        <v>49</v>
      </c>
      <c r="E27" s="67" t="s">
        <v>18</v>
      </c>
      <c r="F27" s="79">
        <v>2807.922</v>
      </c>
      <c r="G27" s="67">
        <f>-810-333-300-672</f>
        <v>-2115</v>
      </c>
      <c r="H27" s="67">
        <f t="shared" si="4"/>
        <v>692.92200000000003</v>
      </c>
      <c r="I27" s="105">
        <v>564.30099999999993</v>
      </c>
      <c r="J27" s="67"/>
      <c r="K27" s="67">
        <f t="shared" si="3"/>
        <v>128.62100000000009</v>
      </c>
      <c r="L27" s="86">
        <f>(G27/F27)*-1</f>
        <v>0.7532260511509935</v>
      </c>
      <c r="M27" s="27" t="s">
        <v>263</v>
      </c>
    </row>
    <row r="28" spans="2:13">
      <c r="B28" s="62">
        <v>6</v>
      </c>
      <c r="C28" s="179"/>
      <c r="D28" s="85" t="s">
        <v>50</v>
      </c>
      <c r="E28" s="67" t="s">
        <v>18</v>
      </c>
      <c r="F28" s="79">
        <v>4853.5860000000002</v>
      </c>
      <c r="G28" s="67">
        <f>-450</f>
        <v>-450</v>
      </c>
      <c r="H28" s="67">
        <f t="shared" si="4"/>
        <v>4403.5860000000002</v>
      </c>
      <c r="I28" s="105">
        <v>1320.3600000000001</v>
      </c>
      <c r="J28" s="67"/>
      <c r="K28" s="67">
        <f t="shared" si="3"/>
        <v>3083.2260000000001</v>
      </c>
      <c r="L28" s="86">
        <f t="shared" si="5"/>
        <v>0.29983745065953066</v>
      </c>
      <c r="M28" s="67" t="s">
        <v>263</v>
      </c>
    </row>
    <row r="29" spans="2:13">
      <c r="B29" s="62">
        <v>7</v>
      </c>
      <c r="C29" s="179"/>
      <c r="D29" s="85" t="s">
        <v>51</v>
      </c>
      <c r="E29" s="67" t="s">
        <v>18</v>
      </c>
      <c r="F29" s="79">
        <v>8070.0069999999996</v>
      </c>
      <c r="G29" s="67">
        <f>-95+600</f>
        <v>505</v>
      </c>
      <c r="H29" s="67">
        <f t="shared" si="4"/>
        <v>8575.0069999999996</v>
      </c>
      <c r="I29" s="105">
        <v>2742.5569999999998</v>
      </c>
      <c r="J29" s="67"/>
      <c r="K29" s="67">
        <f t="shared" si="3"/>
        <v>5832.45</v>
      </c>
      <c r="L29" s="86">
        <f t="shared" si="5"/>
        <v>0.31983145902971272</v>
      </c>
      <c r="M29" s="27" t="s">
        <v>263</v>
      </c>
    </row>
    <row r="30" spans="2:13">
      <c r="B30" s="62">
        <v>8</v>
      </c>
      <c r="C30" s="179"/>
      <c r="D30" s="85" t="s">
        <v>52</v>
      </c>
      <c r="E30" s="67" t="s">
        <v>18</v>
      </c>
      <c r="F30" s="79">
        <v>2794.9839999999999</v>
      </c>
      <c r="G30" s="67">
        <f>-80</f>
        <v>-80</v>
      </c>
      <c r="H30" s="67">
        <f t="shared" si="4"/>
        <v>2714.9839999999999</v>
      </c>
      <c r="I30" s="105">
        <v>525.14300000000003</v>
      </c>
      <c r="J30" s="67"/>
      <c r="K30" s="67">
        <f t="shared" si="3"/>
        <v>2189.8409999999999</v>
      </c>
      <c r="L30" s="86">
        <f t="shared" si="5"/>
        <v>0.1934239759792323</v>
      </c>
      <c r="M30" s="67" t="s">
        <v>263</v>
      </c>
    </row>
    <row r="31" spans="2:13">
      <c r="B31" s="62">
        <v>9</v>
      </c>
      <c r="C31" s="179"/>
      <c r="D31" s="85" t="s">
        <v>53</v>
      </c>
      <c r="E31" s="67" t="s">
        <v>18</v>
      </c>
      <c r="F31" s="79">
        <v>3333.4749999999999</v>
      </c>
      <c r="G31" s="67"/>
      <c r="H31" s="67">
        <f t="shared" si="4"/>
        <v>3333.4749999999999</v>
      </c>
      <c r="I31" s="105">
        <v>441.46099999999996</v>
      </c>
      <c r="J31" s="67"/>
      <c r="K31" s="67">
        <f t="shared" si="3"/>
        <v>2892.0140000000001</v>
      </c>
      <c r="L31" s="86">
        <f t="shared" si="5"/>
        <v>0.1324326716114565</v>
      </c>
      <c r="M31" s="27" t="s">
        <v>263</v>
      </c>
    </row>
    <row r="32" spans="2:13">
      <c r="B32" s="62">
        <v>10</v>
      </c>
      <c r="C32" s="179"/>
      <c r="D32" s="85" t="s">
        <v>54</v>
      </c>
      <c r="E32" s="67" t="s">
        <v>18</v>
      </c>
      <c r="F32" s="79">
        <v>274.87200000000001</v>
      </c>
      <c r="G32" s="67"/>
      <c r="H32" s="67">
        <f t="shared" si="4"/>
        <v>274.87200000000001</v>
      </c>
      <c r="I32" s="105">
        <v>239.93399999999997</v>
      </c>
      <c r="J32" s="67"/>
      <c r="K32" s="67">
        <f t="shared" si="3"/>
        <v>34.938000000000045</v>
      </c>
      <c r="L32" s="86">
        <f t="shared" si="5"/>
        <v>0.87289356500480209</v>
      </c>
      <c r="M32" s="67" t="s">
        <v>263</v>
      </c>
    </row>
    <row r="33" spans="2:13">
      <c r="B33" s="62">
        <v>11</v>
      </c>
      <c r="C33" s="179"/>
      <c r="D33" s="85" t="s">
        <v>321</v>
      </c>
      <c r="E33" s="67" t="s">
        <v>18</v>
      </c>
      <c r="F33" s="79">
        <v>1097.934</v>
      </c>
      <c r="G33" s="67"/>
      <c r="H33" s="67">
        <f t="shared" si="4"/>
        <v>1097.934</v>
      </c>
      <c r="I33" s="105">
        <v>306.01300000000003</v>
      </c>
      <c r="J33" s="67"/>
      <c r="K33" s="67">
        <f t="shared" si="3"/>
        <v>791.92099999999994</v>
      </c>
      <c r="L33" s="86">
        <f t="shared" si="5"/>
        <v>0.2787171177866794</v>
      </c>
      <c r="M33" s="27" t="s">
        <v>263</v>
      </c>
    </row>
    <row r="34" spans="2:13">
      <c r="B34" s="62">
        <v>12</v>
      </c>
      <c r="C34" s="179"/>
      <c r="D34" s="85" t="s">
        <v>55</v>
      </c>
      <c r="E34" s="67" t="s">
        <v>18</v>
      </c>
      <c r="F34" s="79">
        <v>2737.4459999999999</v>
      </c>
      <c r="G34" s="67">
        <f>-175</f>
        <v>-175</v>
      </c>
      <c r="H34" s="67">
        <f t="shared" si="4"/>
        <v>2562.4459999999999</v>
      </c>
      <c r="I34" s="105">
        <f>715.246+8.989</f>
        <v>724.23500000000001</v>
      </c>
      <c r="J34" s="67"/>
      <c r="K34" s="67">
        <f t="shared" si="3"/>
        <v>1838.2109999999998</v>
      </c>
      <c r="L34" s="86">
        <f t="shared" si="5"/>
        <v>0.28263424868270398</v>
      </c>
      <c r="M34" s="67" t="s">
        <v>263</v>
      </c>
    </row>
    <row r="35" spans="2:13">
      <c r="B35" s="62">
        <v>13</v>
      </c>
      <c r="C35" s="179"/>
      <c r="D35" s="85" t="s">
        <v>258</v>
      </c>
      <c r="E35" s="67" t="s">
        <v>18</v>
      </c>
      <c r="F35" s="79">
        <v>4279.2579999999998</v>
      </c>
      <c r="G35" s="67">
        <f>517.223-600+350</f>
        <v>267.22299999999996</v>
      </c>
      <c r="H35" s="67">
        <f t="shared" si="4"/>
        <v>4546.4809999999998</v>
      </c>
      <c r="I35" s="105">
        <v>555.0809999999999</v>
      </c>
      <c r="J35" s="67"/>
      <c r="K35" s="67">
        <f t="shared" si="3"/>
        <v>3991.3999999999996</v>
      </c>
      <c r="L35" s="86">
        <f t="shared" si="5"/>
        <v>0.12209024957983987</v>
      </c>
      <c r="M35" s="27" t="s">
        <v>263</v>
      </c>
    </row>
    <row r="36" spans="2:13">
      <c r="B36" s="62">
        <v>14</v>
      </c>
      <c r="C36" s="179"/>
      <c r="D36" s="85" t="s">
        <v>174</v>
      </c>
      <c r="E36" s="67" t="s">
        <v>18</v>
      </c>
      <c r="F36" s="79">
        <v>2374.3000000000002</v>
      </c>
      <c r="G36" s="67">
        <f>672+340</f>
        <v>1012</v>
      </c>
      <c r="H36" s="67">
        <f t="shared" si="4"/>
        <v>3386.3</v>
      </c>
      <c r="I36" s="105">
        <v>334.226</v>
      </c>
      <c r="J36" s="67"/>
      <c r="K36" s="67">
        <f t="shared" si="3"/>
        <v>3052.0740000000001</v>
      </c>
      <c r="L36" s="86">
        <f t="shared" si="5"/>
        <v>9.8699465493311281E-2</v>
      </c>
      <c r="M36" s="67" t="s">
        <v>263</v>
      </c>
    </row>
    <row r="37" spans="2:13">
      <c r="B37" s="62">
        <v>15</v>
      </c>
      <c r="C37" s="179"/>
      <c r="D37" s="85" t="s">
        <v>259</v>
      </c>
      <c r="E37" s="67" t="s">
        <v>18</v>
      </c>
      <c r="F37" s="79">
        <v>2216.1579999999999</v>
      </c>
      <c r="G37" s="67">
        <f>47.4+200-300+90</f>
        <v>37.400000000000006</v>
      </c>
      <c r="H37" s="67">
        <f t="shared" si="4"/>
        <v>2253.558</v>
      </c>
      <c r="I37" s="105">
        <v>845.55000000000007</v>
      </c>
      <c r="J37" s="67"/>
      <c r="K37" s="67">
        <f t="shared" si="3"/>
        <v>1408.0079999999998</v>
      </c>
      <c r="L37" s="86">
        <f t="shared" si="5"/>
        <v>0.37520667318081014</v>
      </c>
      <c r="M37" s="27" t="s">
        <v>263</v>
      </c>
    </row>
    <row r="38" spans="2:13">
      <c r="B38" s="62">
        <v>16</v>
      </c>
      <c r="C38" s="179"/>
      <c r="D38" s="85" t="s">
        <v>260</v>
      </c>
      <c r="E38" s="67" t="s">
        <v>18</v>
      </c>
      <c r="F38" s="79">
        <v>260.161</v>
      </c>
      <c r="G38" s="67">
        <f>2480+79.4</f>
        <v>2559.4</v>
      </c>
      <c r="H38" s="67">
        <f t="shared" si="4"/>
        <v>2819.5610000000001</v>
      </c>
      <c r="I38" s="105">
        <v>1023.668</v>
      </c>
      <c r="J38" s="67"/>
      <c r="K38" s="67">
        <f t="shared" si="3"/>
        <v>1795.893</v>
      </c>
      <c r="L38" s="86">
        <f t="shared" si="5"/>
        <v>0.3630593556940247</v>
      </c>
      <c r="M38" s="67" t="s">
        <v>263</v>
      </c>
    </row>
    <row r="39" spans="2:13">
      <c r="B39" s="62">
        <v>17</v>
      </c>
      <c r="C39" s="179"/>
      <c r="D39" s="85" t="s">
        <v>56</v>
      </c>
      <c r="E39" s="67" t="s">
        <v>18</v>
      </c>
      <c r="F39" s="79">
        <v>805.77599999999995</v>
      </c>
      <c r="G39" s="67">
        <f>-200</f>
        <v>-200</v>
      </c>
      <c r="H39" s="67">
        <f t="shared" si="4"/>
        <v>605.77599999999995</v>
      </c>
      <c r="I39" s="105">
        <v>183.88200000000001</v>
      </c>
      <c r="J39" s="67"/>
      <c r="K39" s="67">
        <f t="shared" si="3"/>
        <v>421.89399999999995</v>
      </c>
      <c r="L39" s="86">
        <f t="shared" si="5"/>
        <v>0.30354784606851382</v>
      </c>
      <c r="M39" s="27" t="s">
        <v>263</v>
      </c>
    </row>
    <row r="40" spans="2:13">
      <c r="B40" s="62">
        <v>18</v>
      </c>
      <c r="C40" s="179"/>
      <c r="D40" s="85" t="s">
        <v>247</v>
      </c>
      <c r="E40" s="67" t="s">
        <v>18</v>
      </c>
      <c r="F40" s="79">
        <v>3043.4189999999999</v>
      </c>
      <c r="G40" s="67">
        <f>-100-333-250-250-570</f>
        <v>-1503</v>
      </c>
      <c r="H40" s="67">
        <f t="shared" si="4"/>
        <v>1540.4189999999999</v>
      </c>
      <c r="I40" s="105">
        <v>628.99900000000002</v>
      </c>
      <c r="J40" s="67"/>
      <c r="K40" s="67">
        <f t="shared" si="3"/>
        <v>911.41999999999985</v>
      </c>
      <c r="L40" s="86">
        <f t="shared" si="5"/>
        <v>0.4083298115642563</v>
      </c>
      <c r="M40" s="67" t="s">
        <v>263</v>
      </c>
    </row>
    <row r="41" spans="2:13">
      <c r="B41" s="62">
        <v>19</v>
      </c>
      <c r="C41" s="179"/>
      <c r="D41" s="85" t="s">
        <v>57</v>
      </c>
      <c r="E41" s="67" t="s">
        <v>18</v>
      </c>
      <c r="F41" s="79">
        <v>52.823</v>
      </c>
      <c r="G41" s="67"/>
      <c r="H41" s="67">
        <f t="shared" si="4"/>
        <v>52.823</v>
      </c>
      <c r="I41" s="105">
        <v>62.606999999999999</v>
      </c>
      <c r="J41" s="67"/>
      <c r="K41" s="67">
        <f t="shared" si="3"/>
        <v>-9.7839999999999989</v>
      </c>
      <c r="L41" s="86">
        <f t="shared" si="5"/>
        <v>1.1852223463264109</v>
      </c>
      <c r="M41" s="27" t="s">
        <v>263</v>
      </c>
    </row>
    <row r="42" spans="2:13">
      <c r="B42" s="62">
        <v>20</v>
      </c>
      <c r="C42" s="179"/>
      <c r="D42" s="85" t="s">
        <v>58</v>
      </c>
      <c r="E42" s="67" t="s">
        <v>18</v>
      </c>
      <c r="F42" s="79">
        <v>17449.881000000001</v>
      </c>
      <c r="G42" s="93">
        <f>82.6+100+300+300+39.6+1740+218+450+100+400+457-150+754+250+4.9</f>
        <v>5046.0999999999995</v>
      </c>
      <c r="H42" s="67">
        <f t="shared" si="4"/>
        <v>22495.981</v>
      </c>
      <c r="I42" s="105">
        <v>9391.1929999999993</v>
      </c>
      <c r="J42" s="67"/>
      <c r="K42" s="67">
        <f t="shared" si="3"/>
        <v>13104.788</v>
      </c>
      <c r="L42" s="86">
        <f t="shared" si="5"/>
        <v>0.41746092335337587</v>
      </c>
      <c r="M42" s="67" t="s">
        <v>263</v>
      </c>
    </row>
    <row r="43" spans="2:13">
      <c r="B43" s="62">
        <v>21</v>
      </c>
      <c r="C43" s="179"/>
      <c r="D43" s="85" t="s">
        <v>59</v>
      </c>
      <c r="E43" s="67" t="s">
        <v>18</v>
      </c>
      <c r="F43" s="79">
        <v>202.041</v>
      </c>
      <c r="G43" s="67"/>
      <c r="H43" s="67">
        <f t="shared" si="4"/>
        <v>202.041</v>
      </c>
      <c r="I43" s="105">
        <v>164.334</v>
      </c>
      <c r="J43" s="67"/>
      <c r="K43" s="67">
        <f t="shared" si="3"/>
        <v>37.706999999999994</v>
      </c>
      <c r="L43" s="86">
        <f t="shared" si="5"/>
        <v>0.81336956360342705</v>
      </c>
      <c r="M43" s="27" t="s">
        <v>263</v>
      </c>
    </row>
    <row r="44" spans="2:13">
      <c r="B44" s="62">
        <v>22</v>
      </c>
      <c r="C44" s="179"/>
      <c r="D44" s="85" t="s">
        <v>60</v>
      </c>
      <c r="E44" s="67" t="s">
        <v>18</v>
      </c>
      <c r="F44" s="79">
        <v>3774.098</v>
      </c>
      <c r="G44" s="67">
        <f>-450-400</f>
        <v>-850</v>
      </c>
      <c r="H44" s="67">
        <f t="shared" si="4"/>
        <v>2924.098</v>
      </c>
      <c r="I44" s="105">
        <v>882.68700000000013</v>
      </c>
      <c r="J44" s="67"/>
      <c r="K44" s="79">
        <f t="shared" si="3"/>
        <v>2041.4109999999998</v>
      </c>
      <c r="L44" s="86">
        <f t="shared" si="5"/>
        <v>0.3018664217136362</v>
      </c>
      <c r="M44" s="67" t="s">
        <v>263</v>
      </c>
    </row>
    <row r="45" spans="2:13">
      <c r="B45" s="62">
        <v>23</v>
      </c>
      <c r="C45" s="179"/>
      <c r="D45" s="85" t="s">
        <v>61</v>
      </c>
      <c r="E45" s="67" t="s">
        <v>18</v>
      </c>
      <c r="F45" s="79">
        <v>2125.6619999999998</v>
      </c>
      <c r="G45" s="67"/>
      <c r="H45" s="67">
        <f t="shared" si="4"/>
        <v>2125.6619999999998</v>
      </c>
      <c r="I45" s="105">
        <v>363.72199999999992</v>
      </c>
      <c r="J45" s="67"/>
      <c r="K45" s="67">
        <f t="shared" si="3"/>
        <v>1761.9399999999998</v>
      </c>
      <c r="L45" s="86">
        <f t="shared" si="5"/>
        <v>0.1711099883236375</v>
      </c>
      <c r="M45" s="27" t="s">
        <v>263</v>
      </c>
    </row>
    <row r="46" spans="2:13">
      <c r="B46" s="62">
        <v>24</v>
      </c>
      <c r="C46" s="179"/>
      <c r="D46" s="85" t="s">
        <v>62</v>
      </c>
      <c r="E46" s="67" t="s">
        <v>18</v>
      </c>
      <c r="F46" s="79">
        <v>2016.953</v>
      </c>
      <c r="G46" s="67"/>
      <c r="H46" s="67">
        <f t="shared" si="4"/>
        <v>2016.953</v>
      </c>
      <c r="I46" s="105">
        <v>251.792</v>
      </c>
      <c r="J46" s="67"/>
      <c r="K46" s="67">
        <f t="shared" si="3"/>
        <v>1765.1610000000001</v>
      </c>
      <c r="L46" s="86">
        <f t="shared" si="5"/>
        <v>0.12483781228417321</v>
      </c>
      <c r="M46" s="67" t="s">
        <v>263</v>
      </c>
    </row>
    <row r="47" spans="2:13">
      <c r="B47" s="62">
        <v>25</v>
      </c>
      <c r="C47" s="179"/>
      <c r="D47" s="85" t="s">
        <v>173</v>
      </c>
      <c r="E47" s="67" t="s">
        <v>18</v>
      </c>
      <c r="F47" s="79">
        <v>4490.576</v>
      </c>
      <c r="G47" s="67"/>
      <c r="H47" s="67">
        <f t="shared" si="4"/>
        <v>4490.576</v>
      </c>
      <c r="I47" s="105">
        <v>757.58199999999988</v>
      </c>
      <c r="J47" s="67"/>
      <c r="K47" s="67">
        <f t="shared" si="3"/>
        <v>3732.9940000000001</v>
      </c>
      <c r="L47" s="86">
        <f t="shared" si="5"/>
        <v>0.16870486102450996</v>
      </c>
      <c r="M47" s="27" t="s">
        <v>263</v>
      </c>
    </row>
    <row r="48" spans="2:13">
      <c r="B48" s="62">
        <v>26</v>
      </c>
      <c r="C48" s="179"/>
      <c r="D48" s="85" t="s">
        <v>63</v>
      </c>
      <c r="E48" s="67" t="s">
        <v>18</v>
      </c>
      <c r="F48" s="79">
        <v>3199.8969999999999</v>
      </c>
      <c r="G48" s="67"/>
      <c r="H48" s="67">
        <f t="shared" si="4"/>
        <v>3199.8969999999999</v>
      </c>
      <c r="I48" s="105">
        <v>668.32500000000005</v>
      </c>
      <c r="J48" s="67"/>
      <c r="K48" s="67">
        <f t="shared" si="3"/>
        <v>2531.5720000000001</v>
      </c>
      <c r="L48" s="86">
        <f t="shared" si="5"/>
        <v>0.20885828512605251</v>
      </c>
      <c r="M48" s="67" t="s">
        <v>263</v>
      </c>
    </row>
    <row r="49" spans="2:13">
      <c r="B49" s="62">
        <v>27</v>
      </c>
      <c r="C49" s="179"/>
      <c r="D49" s="85" t="s">
        <v>64</v>
      </c>
      <c r="E49" s="67" t="s">
        <v>18</v>
      </c>
      <c r="F49" s="79">
        <v>2760.8760000000002</v>
      </c>
      <c r="G49" s="67"/>
      <c r="H49" s="67">
        <f t="shared" si="4"/>
        <v>2760.8760000000002</v>
      </c>
      <c r="I49" s="105">
        <v>486.91700000000003</v>
      </c>
      <c r="J49" s="67"/>
      <c r="K49" s="67">
        <f t="shared" si="3"/>
        <v>2273.9590000000003</v>
      </c>
      <c r="L49" s="86">
        <f t="shared" si="5"/>
        <v>0.17636322674397545</v>
      </c>
      <c r="M49" s="27" t="s">
        <v>263</v>
      </c>
    </row>
    <row r="50" spans="2:13">
      <c r="B50" s="62">
        <v>28</v>
      </c>
      <c r="C50" s="179"/>
      <c r="D50" s="85" t="s">
        <v>342</v>
      </c>
      <c r="E50" s="67" t="s">
        <v>18</v>
      </c>
      <c r="F50" s="79">
        <v>422.88</v>
      </c>
      <c r="G50" s="67"/>
      <c r="H50" s="67">
        <f t="shared" si="4"/>
        <v>422.88</v>
      </c>
      <c r="I50" s="105">
        <v>0</v>
      </c>
      <c r="J50" s="67"/>
      <c r="K50" s="67">
        <f t="shared" si="3"/>
        <v>422.88</v>
      </c>
      <c r="L50" s="86">
        <f t="shared" si="5"/>
        <v>0</v>
      </c>
      <c r="M50" s="67" t="s">
        <v>263</v>
      </c>
    </row>
    <row r="51" spans="2:13">
      <c r="B51" s="62">
        <v>29</v>
      </c>
      <c r="C51" s="179"/>
      <c r="D51" s="85" t="s">
        <v>65</v>
      </c>
      <c r="E51" s="67" t="s">
        <v>18</v>
      </c>
      <c r="F51" s="79">
        <v>1935.2249999999999</v>
      </c>
      <c r="G51" s="67"/>
      <c r="H51" s="67">
        <f t="shared" si="4"/>
        <v>1935.2249999999999</v>
      </c>
      <c r="I51" s="105">
        <v>285.30200000000002</v>
      </c>
      <c r="J51" s="67"/>
      <c r="K51" s="67">
        <f t="shared" si="3"/>
        <v>1649.9229999999998</v>
      </c>
      <c r="L51" s="86">
        <f>(G51/F51)*-1</f>
        <v>0</v>
      </c>
      <c r="M51" s="27" t="s">
        <v>263</v>
      </c>
    </row>
    <row r="52" spans="2:13">
      <c r="B52" s="62">
        <v>30</v>
      </c>
      <c r="C52" s="179"/>
      <c r="D52" s="85" t="s">
        <v>66</v>
      </c>
      <c r="E52" s="67" t="s">
        <v>18</v>
      </c>
      <c r="F52" s="79">
        <v>132.08500000000001</v>
      </c>
      <c r="G52" s="67">
        <f>-47.4-82.6-0.15</f>
        <v>-130.15</v>
      </c>
      <c r="H52" s="67">
        <f t="shared" si="4"/>
        <v>1.9350000000000023</v>
      </c>
      <c r="I52" s="105">
        <v>0</v>
      </c>
      <c r="J52" s="67"/>
      <c r="K52" s="67">
        <f t="shared" si="3"/>
        <v>1.9350000000000023</v>
      </c>
      <c r="L52" s="86">
        <f>(G52/F52)*-1</f>
        <v>0.98535034258242793</v>
      </c>
      <c r="M52" s="67" t="s">
        <v>263</v>
      </c>
    </row>
    <row r="53" spans="2:13">
      <c r="B53" s="62">
        <v>31</v>
      </c>
      <c r="C53" s="179"/>
      <c r="D53" s="85" t="s">
        <v>67</v>
      </c>
      <c r="E53" s="67" t="s">
        <v>18</v>
      </c>
      <c r="F53" s="79">
        <v>3220.5630000000001</v>
      </c>
      <c r="G53" s="67">
        <f>-180-180-180-180</f>
        <v>-720</v>
      </c>
      <c r="H53" s="67">
        <f t="shared" si="4"/>
        <v>2500.5630000000001</v>
      </c>
      <c r="I53" s="105">
        <v>203.96299999999997</v>
      </c>
      <c r="J53" s="67"/>
      <c r="K53" s="67">
        <f t="shared" si="3"/>
        <v>2296.6000000000004</v>
      </c>
      <c r="L53" s="86">
        <f t="shared" si="5"/>
        <v>8.1566831149625083E-2</v>
      </c>
      <c r="M53" s="27" t="s">
        <v>263</v>
      </c>
    </row>
    <row r="54" spans="2:13">
      <c r="B54" s="62">
        <v>32</v>
      </c>
      <c r="C54" s="179"/>
      <c r="D54" s="85" t="s">
        <v>68</v>
      </c>
      <c r="E54" s="67" t="s">
        <v>18</v>
      </c>
      <c r="F54" s="79">
        <v>3072.761</v>
      </c>
      <c r="G54" s="67">
        <f>-435</f>
        <v>-435</v>
      </c>
      <c r="H54" s="67">
        <f t="shared" si="4"/>
        <v>2637.761</v>
      </c>
      <c r="I54" s="105">
        <v>930.31200000000013</v>
      </c>
      <c r="J54" s="67"/>
      <c r="K54" s="67">
        <f t="shared" si="3"/>
        <v>1707.4489999999998</v>
      </c>
      <c r="L54" s="86">
        <f t="shared" si="5"/>
        <v>0.35269002764086665</v>
      </c>
      <c r="M54" s="67" t="s">
        <v>263</v>
      </c>
    </row>
    <row r="55" spans="2:13">
      <c r="B55" s="62">
        <v>33</v>
      </c>
      <c r="C55" s="179"/>
      <c r="D55" s="85" t="s">
        <v>279</v>
      </c>
      <c r="E55" s="67" t="s">
        <v>18</v>
      </c>
      <c r="F55" s="79">
        <v>455.2</v>
      </c>
      <c r="G55" s="67"/>
      <c r="H55" s="67">
        <f t="shared" ref="H55:H86" si="6">F55+G55</f>
        <v>455.2</v>
      </c>
      <c r="I55" s="105">
        <v>551.68999999999994</v>
      </c>
      <c r="J55" s="67"/>
      <c r="K55" s="67">
        <f t="shared" si="3"/>
        <v>-96.489999999999952</v>
      </c>
      <c r="L55" s="86">
        <f t="shared" si="5"/>
        <v>1.2119727592267133</v>
      </c>
      <c r="M55" s="27" t="s">
        <v>263</v>
      </c>
    </row>
    <row r="56" spans="2:13">
      <c r="B56" s="62">
        <v>34</v>
      </c>
      <c r="C56" s="179"/>
      <c r="D56" s="85" t="s">
        <v>69</v>
      </c>
      <c r="E56" s="67" t="s">
        <v>18</v>
      </c>
      <c r="F56" s="79">
        <v>1.6E-2</v>
      </c>
      <c r="G56" s="67"/>
      <c r="H56" s="67">
        <f t="shared" si="6"/>
        <v>1.6E-2</v>
      </c>
      <c r="I56" s="105">
        <v>0</v>
      </c>
      <c r="J56" s="67"/>
      <c r="K56" s="67">
        <f t="shared" si="3"/>
        <v>1.6E-2</v>
      </c>
      <c r="L56" s="86">
        <f t="shared" si="5"/>
        <v>0</v>
      </c>
      <c r="M56" s="67" t="s">
        <v>263</v>
      </c>
    </row>
    <row r="57" spans="2:13">
      <c r="B57" s="62">
        <v>35</v>
      </c>
      <c r="C57" s="179"/>
      <c r="D57" s="85" t="s">
        <v>70</v>
      </c>
      <c r="E57" s="67" t="s">
        <v>18</v>
      </c>
      <c r="F57" s="79">
        <v>508.63499999999999</v>
      </c>
      <c r="G57" s="67">
        <f>-200-90-180+75.4</f>
        <v>-394.6</v>
      </c>
      <c r="H57" s="67">
        <f t="shared" si="6"/>
        <v>114.03499999999997</v>
      </c>
      <c r="I57" s="105">
        <v>123.87300000000002</v>
      </c>
      <c r="J57" s="67"/>
      <c r="K57" s="67">
        <f t="shared" si="3"/>
        <v>-9.8380000000000507</v>
      </c>
      <c r="L57" s="86">
        <f t="shared" si="5"/>
        <v>1.0862717586705841</v>
      </c>
      <c r="M57" s="27" t="s">
        <v>263</v>
      </c>
    </row>
    <row r="58" spans="2:13">
      <c r="B58" s="62">
        <v>36</v>
      </c>
      <c r="C58" s="179"/>
      <c r="D58" s="85" t="s">
        <v>71</v>
      </c>
      <c r="E58" s="67" t="s">
        <v>18</v>
      </c>
      <c r="F58" s="79">
        <v>1613.489</v>
      </c>
      <c r="G58" s="67">
        <f>-480-80-500</f>
        <v>-1060</v>
      </c>
      <c r="H58" s="67">
        <f t="shared" si="6"/>
        <v>553.48900000000003</v>
      </c>
      <c r="I58" s="105">
        <v>202.20399999999998</v>
      </c>
      <c r="J58" s="67"/>
      <c r="K58" s="67">
        <f t="shared" si="3"/>
        <v>351.28500000000008</v>
      </c>
      <c r="L58" s="86">
        <f t="shared" si="5"/>
        <v>0.3653261401762275</v>
      </c>
      <c r="M58" s="67" t="s">
        <v>263</v>
      </c>
    </row>
    <row r="59" spans="2:13">
      <c r="B59" s="62">
        <v>37</v>
      </c>
      <c r="C59" s="179"/>
      <c r="D59" s="85" t="s">
        <v>72</v>
      </c>
      <c r="E59" s="67" t="s">
        <v>18</v>
      </c>
      <c r="F59" s="79">
        <v>540.42100000000005</v>
      </c>
      <c r="G59" s="67">
        <f>-175-100-40-100+180-75.4-50+368.168</f>
        <v>7.7680000000000291</v>
      </c>
      <c r="H59" s="67">
        <f t="shared" si="6"/>
        <v>548.18900000000008</v>
      </c>
      <c r="I59" s="105">
        <v>29.21</v>
      </c>
      <c r="J59" s="67"/>
      <c r="K59" s="67">
        <f t="shared" si="3"/>
        <v>518.97900000000004</v>
      </c>
      <c r="L59" s="86">
        <f t="shared" si="5"/>
        <v>5.3284542374983805E-2</v>
      </c>
      <c r="M59" s="27" t="s">
        <v>263</v>
      </c>
    </row>
    <row r="60" spans="2:13">
      <c r="B60" s="62">
        <v>38</v>
      </c>
      <c r="C60" s="179"/>
      <c r="D60" s="85" t="s">
        <v>73</v>
      </c>
      <c r="E60" s="67" t="s">
        <v>18</v>
      </c>
      <c r="F60" s="79">
        <v>2771.9609999999998</v>
      </c>
      <c r="G60" s="67">
        <f>500-110</f>
        <v>390</v>
      </c>
      <c r="H60" s="67">
        <f t="shared" si="6"/>
        <v>3161.9609999999998</v>
      </c>
      <c r="I60" s="105">
        <v>277.875</v>
      </c>
      <c r="J60" s="67"/>
      <c r="K60" s="67">
        <f t="shared" si="3"/>
        <v>2884.0859999999998</v>
      </c>
      <c r="L60" s="86">
        <f t="shared" si="5"/>
        <v>8.7880590557568555E-2</v>
      </c>
      <c r="M60" s="67" t="s">
        <v>263</v>
      </c>
    </row>
    <row r="61" spans="2:13">
      <c r="B61" s="62">
        <v>39</v>
      </c>
      <c r="C61" s="179"/>
      <c r="D61" s="85" t="s">
        <v>74</v>
      </c>
      <c r="E61" s="67" t="s">
        <v>18</v>
      </c>
      <c r="F61" s="79">
        <v>929.43100000000004</v>
      </c>
      <c r="G61" s="67"/>
      <c r="H61" s="67">
        <f t="shared" si="6"/>
        <v>929.43100000000004</v>
      </c>
      <c r="I61" s="105">
        <v>482.15899999999999</v>
      </c>
      <c r="J61" s="67"/>
      <c r="K61" s="67">
        <f t="shared" si="3"/>
        <v>447.27200000000005</v>
      </c>
      <c r="L61" s="86">
        <f t="shared" si="5"/>
        <v>0.51876793435983948</v>
      </c>
      <c r="M61" s="27" t="s">
        <v>263</v>
      </c>
    </row>
    <row r="62" spans="2:13">
      <c r="B62" s="62">
        <v>40</v>
      </c>
      <c r="C62" s="179"/>
      <c r="D62" s="85" t="s">
        <v>75</v>
      </c>
      <c r="E62" s="67" t="s">
        <v>18</v>
      </c>
      <c r="F62" s="79">
        <v>870.71699999999998</v>
      </c>
      <c r="G62" s="67"/>
      <c r="H62" s="67">
        <f t="shared" si="6"/>
        <v>870.71699999999998</v>
      </c>
      <c r="I62" s="105">
        <v>292.74800000000005</v>
      </c>
      <c r="J62" s="67"/>
      <c r="K62" s="67">
        <f t="shared" si="3"/>
        <v>577.96899999999994</v>
      </c>
      <c r="L62" s="86">
        <f t="shared" si="5"/>
        <v>0.33621486659844707</v>
      </c>
      <c r="M62" s="67" t="s">
        <v>263</v>
      </c>
    </row>
    <row r="63" spans="2:13">
      <c r="B63" s="62">
        <v>41</v>
      </c>
      <c r="C63" s="179"/>
      <c r="D63" s="85" t="s">
        <v>322</v>
      </c>
      <c r="E63" s="67" t="s">
        <v>18</v>
      </c>
      <c r="F63" s="79">
        <v>902.58199999999999</v>
      </c>
      <c r="G63" s="67">
        <f>-100-150-200</f>
        <v>-450</v>
      </c>
      <c r="H63" s="67">
        <f t="shared" si="6"/>
        <v>452.58199999999999</v>
      </c>
      <c r="I63" s="105">
        <v>91.99199999999999</v>
      </c>
      <c r="J63" s="67"/>
      <c r="K63" s="67">
        <f t="shared" si="3"/>
        <v>360.59000000000003</v>
      </c>
      <c r="L63" s="86">
        <f t="shared" si="5"/>
        <v>0.20326040363956144</v>
      </c>
      <c r="M63" s="27" t="s">
        <v>263</v>
      </c>
    </row>
    <row r="64" spans="2:13">
      <c r="B64" s="62">
        <v>42</v>
      </c>
      <c r="C64" s="179"/>
      <c r="D64" s="85" t="s">
        <v>76</v>
      </c>
      <c r="E64" s="67" t="s">
        <v>18</v>
      </c>
      <c r="F64" s="79">
        <v>900.38499999999999</v>
      </c>
      <c r="G64" s="67">
        <f>-889.179</f>
        <v>-889.17899999999997</v>
      </c>
      <c r="H64" s="67">
        <f t="shared" si="6"/>
        <v>11.206000000000017</v>
      </c>
      <c r="I64" s="105">
        <v>11.206</v>
      </c>
      <c r="J64" s="67"/>
      <c r="K64" s="67">
        <f t="shared" si="3"/>
        <v>1.7763568394002505E-14</v>
      </c>
      <c r="L64" s="86">
        <f t="shared" si="5"/>
        <v>0.99999999999999845</v>
      </c>
      <c r="M64" s="67" t="s">
        <v>263</v>
      </c>
    </row>
    <row r="65" spans="2:13">
      <c r="B65" s="62">
        <v>43</v>
      </c>
      <c r="C65" s="179"/>
      <c r="D65" s="85" t="s">
        <v>77</v>
      </c>
      <c r="E65" s="67" t="s">
        <v>18</v>
      </c>
      <c r="F65" s="79">
        <v>98.408000000000001</v>
      </c>
      <c r="G65" s="67">
        <f>-98</f>
        <v>-98</v>
      </c>
      <c r="H65" s="67">
        <f t="shared" si="6"/>
        <v>0.40800000000000125</v>
      </c>
      <c r="I65" s="105">
        <v>0</v>
      </c>
      <c r="J65" s="67"/>
      <c r="K65" s="67">
        <f t="shared" si="3"/>
        <v>0.40800000000000125</v>
      </c>
      <c r="L65" s="86">
        <f t="shared" si="5"/>
        <v>0</v>
      </c>
      <c r="M65" s="27" t="s">
        <v>263</v>
      </c>
    </row>
    <row r="66" spans="2:13">
      <c r="B66" s="62">
        <v>44</v>
      </c>
      <c r="C66" s="179"/>
      <c r="D66" s="85" t="s">
        <v>78</v>
      </c>
      <c r="E66" s="67" t="s">
        <v>18</v>
      </c>
      <c r="F66" s="79">
        <v>1255.7919999999999</v>
      </c>
      <c r="G66" s="67">
        <f>-600-100-250</f>
        <v>-950</v>
      </c>
      <c r="H66" s="67">
        <f t="shared" si="6"/>
        <v>305.79199999999992</v>
      </c>
      <c r="I66" s="105">
        <v>52.341000000000001</v>
      </c>
      <c r="J66" s="67"/>
      <c r="K66" s="67">
        <f t="shared" si="3"/>
        <v>253.45099999999991</v>
      </c>
      <c r="L66" s="86">
        <f t="shared" si="5"/>
        <v>0.17116536730849732</v>
      </c>
      <c r="M66" s="67" t="s">
        <v>263</v>
      </c>
    </row>
    <row r="67" spans="2:13">
      <c r="B67" s="62">
        <v>45</v>
      </c>
      <c r="C67" s="179"/>
      <c r="D67" s="85" t="s">
        <v>79</v>
      </c>
      <c r="E67" s="67" t="s">
        <v>18</v>
      </c>
      <c r="F67" s="79">
        <v>2673.0880000000002</v>
      </c>
      <c r="G67" s="67"/>
      <c r="H67" s="67">
        <f t="shared" si="6"/>
        <v>2673.0880000000002</v>
      </c>
      <c r="I67" s="105">
        <v>309.62300000000005</v>
      </c>
      <c r="J67" s="67"/>
      <c r="K67" s="67">
        <f t="shared" si="3"/>
        <v>2363.4650000000001</v>
      </c>
      <c r="L67" s="86">
        <f>(G67/F67)*-1</f>
        <v>0</v>
      </c>
      <c r="M67" s="27" t="s">
        <v>263</v>
      </c>
    </row>
    <row r="68" spans="2:13">
      <c r="B68" s="62">
        <v>46</v>
      </c>
      <c r="C68" s="179"/>
      <c r="D68" s="85" t="s">
        <v>80</v>
      </c>
      <c r="E68" s="67" t="s">
        <v>18</v>
      </c>
      <c r="F68" s="79">
        <v>2245.806</v>
      </c>
      <c r="G68" s="67">
        <f>435</f>
        <v>435</v>
      </c>
      <c r="H68" s="67">
        <f t="shared" si="6"/>
        <v>2680.806</v>
      </c>
      <c r="I68" s="105">
        <v>910.07900000000006</v>
      </c>
      <c r="J68" s="67"/>
      <c r="K68" s="67">
        <f t="shared" si="3"/>
        <v>1770.7269999999999</v>
      </c>
      <c r="L68" s="86">
        <f t="shared" si="5"/>
        <v>0.33947961918915431</v>
      </c>
      <c r="M68" s="67" t="s">
        <v>263</v>
      </c>
    </row>
    <row r="69" spans="2:13">
      <c r="B69" s="62">
        <v>47</v>
      </c>
      <c r="C69" s="179"/>
      <c r="D69" s="85" t="s">
        <v>81</v>
      </c>
      <c r="E69" s="67" t="s">
        <v>18</v>
      </c>
      <c r="F69" s="79">
        <v>3276.1219999999998</v>
      </c>
      <c r="G69" s="67">
        <f>-2480-400</f>
        <v>-2880</v>
      </c>
      <c r="H69" s="67">
        <f t="shared" si="6"/>
        <v>396.12199999999984</v>
      </c>
      <c r="I69" s="105">
        <v>24.744</v>
      </c>
      <c r="J69" s="67"/>
      <c r="K69" s="67">
        <f t="shared" si="3"/>
        <v>371.37799999999982</v>
      </c>
      <c r="L69" s="86">
        <f t="shared" si="5"/>
        <v>6.2465604031081361E-2</v>
      </c>
      <c r="M69" s="27" t="s">
        <v>263</v>
      </c>
    </row>
    <row r="70" spans="2:13">
      <c r="B70" s="62">
        <v>48</v>
      </c>
      <c r="C70" s="179"/>
      <c r="D70" s="85" t="s">
        <v>82</v>
      </c>
      <c r="E70" s="67" t="s">
        <v>18</v>
      </c>
      <c r="F70" s="79">
        <v>20.327999999999999</v>
      </c>
      <c r="G70" s="67"/>
      <c r="H70" s="67">
        <f t="shared" si="6"/>
        <v>20.327999999999999</v>
      </c>
      <c r="I70" s="105">
        <v>0</v>
      </c>
      <c r="J70" s="67"/>
      <c r="K70" s="67">
        <f t="shared" si="3"/>
        <v>20.327999999999999</v>
      </c>
      <c r="L70" s="86">
        <f t="shared" si="5"/>
        <v>0</v>
      </c>
      <c r="M70" s="67" t="s">
        <v>263</v>
      </c>
    </row>
    <row r="71" spans="2:13">
      <c r="B71" s="62">
        <v>49</v>
      </c>
      <c r="C71" s="179"/>
      <c r="D71" s="85" t="s">
        <v>83</v>
      </c>
      <c r="E71" s="67" t="s">
        <v>18</v>
      </c>
      <c r="F71" s="79">
        <v>4459.8469999999998</v>
      </c>
      <c r="G71" s="67">
        <f>-80-80-75-150</f>
        <v>-385</v>
      </c>
      <c r="H71" s="67">
        <f t="shared" si="6"/>
        <v>4074.8469999999998</v>
      </c>
      <c r="I71" s="105">
        <v>881.49600000000009</v>
      </c>
      <c r="J71" s="67"/>
      <c r="K71" s="67">
        <f t="shared" si="3"/>
        <v>3193.3509999999997</v>
      </c>
      <c r="L71" s="86">
        <f t="shared" si="5"/>
        <v>0.21632615899443591</v>
      </c>
      <c r="M71" s="27" t="s">
        <v>263</v>
      </c>
    </row>
    <row r="72" spans="2:13">
      <c r="B72" s="62">
        <v>50</v>
      </c>
      <c r="C72" s="179"/>
      <c r="D72" s="85" t="s">
        <v>323</v>
      </c>
      <c r="E72" s="67" t="s">
        <v>18</v>
      </c>
      <c r="F72" s="79">
        <v>115.443</v>
      </c>
      <c r="G72" s="67">
        <f>-11</f>
        <v>-11</v>
      </c>
      <c r="H72" s="67">
        <f t="shared" si="6"/>
        <v>104.443</v>
      </c>
      <c r="I72" s="105">
        <v>0</v>
      </c>
      <c r="J72" s="67"/>
      <c r="K72" s="67">
        <f t="shared" si="3"/>
        <v>104.443</v>
      </c>
      <c r="L72" s="86">
        <f t="shared" si="5"/>
        <v>0</v>
      </c>
      <c r="M72" s="67" t="s">
        <v>263</v>
      </c>
    </row>
    <row r="73" spans="2:13">
      <c r="B73" s="62">
        <v>51</v>
      </c>
      <c r="C73" s="179"/>
      <c r="D73" s="85" t="s">
        <v>261</v>
      </c>
      <c r="E73" s="67" t="s">
        <v>18</v>
      </c>
      <c r="F73" s="79">
        <v>350.62599999999998</v>
      </c>
      <c r="G73" s="67">
        <f>350</f>
        <v>350</v>
      </c>
      <c r="H73" s="67">
        <f t="shared" si="6"/>
        <v>700.62599999999998</v>
      </c>
      <c r="I73" s="105">
        <v>404.11699999999996</v>
      </c>
      <c r="J73" s="67"/>
      <c r="K73" s="67">
        <f t="shared" si="3"/>
        <v>296.50900000000001</v>
      </c>
      <c r="L73" s="86">
        <f t="shared" si="5"/>
        <v>0.57679418120366643</v>
      </c>
      <c r="M73" s="27" t="s">
        <v>263</v>
      </c>
    </row>
    <row r="74" spans="2:13">
      <c r="B74" s="62">
        <v>52</v>
      </c>
      <c r="C74" s="179"/>
      <c r="D74" s="85" t="s">
        <v>324</v>
      </c>
      <c r="E74" s="67" t="s">
        <v>18</v>
      </c>
      <c r="F74" s="79">
        <v>39.656999999999996</v>
      </c>
      <c r="G74" s="67">
        <f>-39.6</f>
        <v>-39.6</v>
      </c>
      <c r="H74" s="67">
        <f t="shared" si="6"/>
        <v>5.6999999999995055E-2</v>
      </c>
      <c r="I74" s="105">
        <v>0</v>
      </c>
      <c r="J74" s="67"/>
      <c r="K74" s="67">
        <f t="shared" si="3"/>
        <v>5.6999999999995055E-2</v>
      </c>
      <c r="L74" s="86">
        <f t="shared" si="5"/>
        <v>0</v>
      </c>
      <c r="M74" s="67" t="s">
        <v>263</v>
      </c>
    </row>
    <row r="75" spans="2:13">
      <c r="B75" s="62">
        <v>53</v>
      </c>
      <c r="C75" s="179"/>
      <c r="D75" s="85" t="s">
        <v>84</v>
      </c>
      <c r="E75" s="67" t="s">
        <v>18</v>
      </c>
      <c r="F75" s="79">
        <v>1605.6320000000001</v>
      </c>
      <c r="G75" s="67">
        <f>-30-30-30</f>
        <v>-90</v>
      </c>
      <c r="H75" s="67">
        <f t="shared" si="6"/>
        <v>1515.6320000000001</v>
      </c>
      <c r="I75" s="105">
        <v>488.80899999999997</v>
      </c>
      <c r="J75" s="67"/>
      <c r="K75" s="67">
        <f t="shared" si="3"/>
        <v>1026.8230000000001</v>
      </c>
      <c r="L75" s="86">
        <f t="shared" si="5"/>
        <v>0.32251166510076323</v>
      </c>
      <c r="M75" s="27" t="s">
        <v>263</v>
      </c>
    </row>
    <row r="76" spans="2:13">
      <c r="B76" s="62">
        <v>54</v>
      </c>
      <c r="C76" s="179"/>
      <c r="D76" s="85" t="s">
        <v>85</v>
      </c>
      <c r="E76" s="67" t="s">
        <v>18</v>
      </c>
      <c r="F76" s="79">
        <v>5641.4390000000003</v>
      </c>
      <c r="G76" s="67">
        <f>-27-600</f>
        <v>-627</v>
      </c>
      <c r="H76" s="67">
        <f t="shared" si="6"/>
        <v>5014.4390000000003</v>
      </c>
      <c r="I76" s="105">
        <v>1116.8520000000001</v>
      </c>
      <c r="J76" s="67"/>
      <c r="K76" s="67">
        <f t="shared" si="3"/>
        <v>3897.5870000000004</v>
      </c>
      <c r="L76" s="86">
        <f t="shared" si="5"/>
        <v>0.22272720836767582</v>
      </c>
      <c r="M76" s="67" t="s">
        <v>263</v>
      </c>
    </row>
    <row r="77" spans="2:13">
      <c r="B77" s="62">
        <v>55</v>
      </c>
      <c r="C77" s="179"/>
      <c r="D77" s="85" t="s">
        <v>86</v>
      </c>
      <c r="E77" s="67" t="s">
        <v>18</v>
      </c>
      <c r="F77" s="79">
        <v>1650.2339999999999</v>
      </c>
      <c r="G77" s="67">
        <f>-284+50-580-175-500-50</f>
        <v>-1539</v>
      </c>
      <c r="H77" s="67">
        <f t="shared" si="6"/>
        <v>111.23399999999992</v>
      </c>
      <c r="I77" s="105">
        <v>56.957000000000001</v>
      </c>
      <c r="J77" s="67"/>
      <c r="K77" s="67">
        <f t="shared" si="3"/>
        <v>54.276999999999923</v>
      </c>
      <c r="L77" s="86">
        <f t="shared" si="5"/>
        <v>0.5120466763759286</v>
      </c>
      <c r="M77" s="27" t="s">
        <v>263</v>
      </c>
    </row>
    <row r="78" spans="2:13">
      <c r="B78" s="62">
        <v>56</v>
      </c>
      <c r="C78" s="179"/>
      <c r="D78" s="85" t="s">
        <v>87</v>
      </c>
      <c r="E78" s="67" t="s">
        <v>18</v>
      </c>
      <c r="F78" s="79">
        <v>2700.1379999999999</v>
      </c>
      <c r="G78" s="67"/>
      <c r="H78" s="67">
        <f t="shared" si="6"/>
        <v>2700.1379999999999</v>
      </c>
      <c r="I78" s="105">
        <v>604.61</v>
      </c>
      <c r="J78" s="67"/>
      <c r="K78" s="67">
        <f t="shared" si="3"/>
        <v>2095.5279999999998</v>
      </c>
      <c r="L78" s="86">
        <f t="shared" si="5"/>
        <v>0.22391818492240029</v>
      </c>
      <c r="M78" s="67" t="s">
        <v>263</v>
      </c>
    </row>
    <row r="79" spans="2:13">
      <c r="B79" s="62">
        <v>57</v>
      </c>
      <c r="C79" s="179"/>
      <c r="D79" s="85" t="s">
        <v>165</v>
      </c>
      <c r="E79" s="67" t="s">
        <v>18</v>
      </c>
      <c r="F79" s="79">
        <v>6163.6490000000003</v>
      </c>
      <c r="G79" s="67">
        <f>500+457+300</f>
        <v>1257</v>
      </c>
      <c r="H79" s="67">
        <f t="shared" si="6"/>
        <v>7420.6490000000003</v>
      </c>
      <c r="I79" s="105">
        <v>3005.5630000000001</v>
      </c>
      <c r="J79" s="67"/>
      <c r="K79" s="67">
        <f t="shared" si="3"/>
        <v>4415.0860000000002</v>
      </c>
      <c r="L79" s="86">
        <f>(G79/F79)*-1</f>
        <v>-0.20393763499511408</v>
      </c>
      <c r="M79" s="27" t="s">
        <v>263</v>
      </c>
    </row>
    <row r="80" spans="2:13">
      <c r="B80" s="62">
        <v>58</v>
      </c>
      <c r="C80" s="179"/>
      <c r="D80" s="85" t="s">
        <v>88</v>
      </c>
      <c r="E80" s="67" t="s">
        <v>18</v>
      </c>
      <c r="F80" s="79">
        <v>218.08099999999999</v>
      </c>
      <c r="G80" s="67">
        <f>-218</f>
        <v>-218</v>
      </c>
      <c r="H80" s="67">
        <f t="shared" si="6"/>
        <v>8.0999999999988859E-2</v>
      </c>
      <c r="I80" s="105">
        <v>0</v>
      </c>
      <c r="J80" s="67"/>
      <c r="K80" s="67">
        <f t="shared" si="3"/>
        <v>8.0999999999988859E-2</v>
      </c>
      <c r="L80" s="86">
        <f t="shared" si="5"/>
        <v>0</v>
      </c>
      <c r="M80" s="67" t="s">
        <v>263</v>
      </c>
    </row>
    <row r="81" spans="2:13">
      <c r="B81" s="62">
        <v>59</v>
      </c>
      <c r="C81" s="179"/>
      <c r="D81" s="85" t="s">
        <v>89</v>
      </c>
      <c r="E81" s="67" t="s">
        <v>18</v>
      </c>
      <c r="F81" s="79">
        <v>8502.7710000000006</v>
      </c>
      <c r="G81" s="67">
        <f>400-150+381+1663.771+500</f>
        <v>2794.7709999999997</v>
      </c>
      <c r="H81" s="67">
        <f t="shared" si="6"/>
        <v>11297.542000000001</v>
      </c>
      <c r="I81" s="105">
        <v>2779.0239999999999</v>
      </c>
      <c r="J81" s="67"/>
      <c r="K81" s="67">
        <f t="shared" si="3"/>
        <v>8518.5180000000018</v>
      </c>
      <c r="L81" s="86">
        <f t="shared" si="5"/>
        <v>0.2459848345772912</v>
      </c>
      <c r="M81" s="27" t="s">
        <v>263</v>
      </c>
    </row>
    <row r="82" spans="2:13">
      <c r="B82" s="62">
        <v>60</v>
      </c>
      <c r="C82" s="179"/>
      <c r="D82" s="85" t="s">
        <v>166</v>
      </c>
      <c r="E82" s="67" t="s">
        <v>18</v>
      </c>
      <c r="F82" s="79">
        <v>182.059</v>
      </c>
      <c r="G82" s="67"/>
      <c r="H82" s="67">
        <f t="shared" si="6"/>
        <v>182.059</v>
      </c>
      <c r="I82" s="105">
        <v>196.10099999999997</v>
      </c>
      <c r="J82" s="67"/>
      <c r="K82" s="67">
        <f t="shared" si="3"/>
        <v>-14.041999999999973</v>
      </c>
      <c r="L82" s="86">
        <f t="shared" si="5"/>
        <v>1.0771288428476482</v>
      </c>
      <c r="M82" s="67" t="s">
        <v>263</v>
      </c>
    </row>
    <row r="83" spans="2:13">
      <c r="B83" s="62">
        <v>61</v>
      </c>
      <c r="C83" s="179"/>
      <c r="D83" s="85" t="s">
        <v>90</v>
      </c>
      <c r="E83" s="67" t="s">
        <v>18</v>
      </c>
      <c r="F83" s="79">
        <v>2.4529999999999998</v>
      </c>
      <c r="G83" s="67"/>
      <c r="H83" s="67">
        <f t="shared" si="6"/>
        <v>2.4529999999999998</v>
      </c>
      <c r="I83" s="105">
        <v>0</v>
      </c>
      <c r="J83" s="67"/>
      <c r="K83" s="67">
        <f t="shared" si="3"/>
        <v>2.4529999999999998</v>
      </c>
      <c r="L83" s="86">
        <f t="shared" si="5"/>
        <v>0</v>
      </c>
      <c r="M83" s="27" t="s">
        <v>263</v>
      </c>
    </row>
    <row r="84" spans="2:13">
      <c r="B84" s="62">
        <v>62</v>
      </c>
      <c r="C84" s="179"/>
      <c r="D84" s="85" t="s">
        <v>167</v>
      </c>
      <c r="E84" s="67" t="s">
        <v>18</v>
      </c>
      <c r="F84" s="79">
        <v>8268.3140000000003</v>
      </c>
      <c r="G84" s="67">
        <f>-340-400</f>
        <v>-740</v>
      </c>
      <c r="H84" s="67">
        <f t="shared" si="6"/>
        <v>7528.3140000000003</v>
      </c>
      <c r="I84" s="105">
        <v>1610.3990000000001</v>
      </c>
      <c r="J84" s="67"/>
      <c r="K84" s="67">
        <f t="shared" ref="K84:K138" si="7">H84-(I84+J84)</f>
        <v>5917.915</v>
      </c>
      <c r="L84" s="86">
        <f t="shared" si="5"/>
        <v>0.2139123049330833</v>
      </c>
      <c r="M84" s="67" t="s">
        <v>263</v>
      </c>
    </row>
    <row r="85" spans="2:13">
      <c r="B85" s="62">
        <v>63</v>
      </c>
      <c r="C85" s="179"/>
      <c r="D85" s="85" t="s">
        <v>168</v>
      </c>
      <c r="E85" s="67" t="s">
        <v>18</v>
      </c>
      <c r="F85" s="79">
        <v>1901.335</v>
      </c>
      <c r="G85" s="67">
        <f>-350</f>
        <v>-350</v>
      </c>
      <c r="H85" s="67">
        <f t="shared" si="6"/>
        <v>1551.335</v>
      </c>
      <c r="I85" s="105">
        <v>642.32099999999991</v>
      </c>
      <c r="J85" s="67"/>
      <c r="K85" s="67">
        <f t="shared" si="7"/>
        <v>909.01400000000012</v>
      </c>
      <c r="L85" s="86">
        <f t="shared" si="5"/>
        <v>0.41404403304250847</v>
      </c>
      <c r="M85" s="27" t="s">
        <v>263</v>
      </c>
    </row>
    <row r="86" spans="2:13">
      <c r="B86" s="62">
        <v>64</v>
      </c>
      <c r="C86" s="179"/>
      <c r="D86" s="85" t="s">
        <v>169</v>
      </c>
      <c r="E86" s="67" t="s">
        <v>18</v>
      </c>
      <c r="F86" s="79">
        <v>604.91899999999998</v>
      </c>
      <c r="G86" s="67"/>
      <c r="H86" s="67">
        <f t="shared" si="6"/>
        <v>604.91899999999998</v>
      </c>
      <c r="I86" s="105">
        <v>297.24700000000007</v>
      </c>
      <c r="J86" s="67"/>
      <c r="K86" s="67">
        <f t="shared" si="7"/>
        <v>307.67199999999991</v>
      </c>
      <c r="L86" s="86">
        <f t="shared" si="5"/>
        <v>0.49138314385893</v>
      </c>
      <c r="M86" s="67" t="s">
        <v>263</v>
      </c>
    </row>
    <row r="87" spans="2:13">
      <c r="B87" s="62">
        <v>65</v>
      </c>
      <c r="C87" s="179"/>
      <c r="D87" s="85" t="s">
        <v>280</v>
      </c>
      <c r="E87" s="67" t="s">
        <v>18</v>
      </c>
      <c r="F87" s="79">
        <v>1863.3720000000001</v>
      </c>
      <c r="G87" s="67">
        <f>280</f>
        <v>280</v>
      </c>
      <c r="H87" s="67">
        <f t="shared" ref="H87:H88" si="8">F87+G87</f>
        <v>2143.3720000000003</v>
      </c>
      <c r="I87" s="105">
        <v>169.24700000000001</v>
      </c>
      <c r="J87" s="67"/>
      <c r="K87" s="67">
        <f t="shared" si="7"/>
        <v>1974.1250000000002</v>
      </c>
      <c r="L87" s="86">
        <f t="shared" si="5"/>
        <v>7.8962961165863876E-2</v>
      </c>
      <c r="M87" s="27" t="s">
        <v>263</v>
      </c>
    </row>
    <row r="88" spans="2:13">
      <c r="B88" s="62">
        <v>66</v>
      </c>
      <c r="C88" s="179"/>
      <c r="D88" s="85" t="s">
        <v>170</v>
      </c>
      <c r="E88" s="67" t="s">
        <v>18</v>
      </c>
      <c r="F88" s="79">
        <v>2540.8040000000001</v>
      </c>
      <c r="G88" s="67">
        <f>-18</f>
        <v>-18</v>
      </c>
      <c r="H88" s="67">
        <f t="shared" si="8"/>
        <v>2522.8040000000001</v>
      </c>
      <c r="I88" s="105">
        <v>676.94200000000001</v>
      </c>
      <c r="J88" s="67"/>
      <c r="K88" s="67">
        <f t="shared" si="7"/>
        <v>1845.8620000000001</v>
      </c>
      <c r="L88" s="86">
        <f t="shared" si="5"/>
        <v>0.26832920829362883</v>
      </c>
      <c r="M88" s="67" t="s">
        <v>263</v>
      </c>
    </row>
    <row r="89" spans="2:13">
      <c r="B89" s="62">
        <v>67</v>
      </c>
      <c r="C89" s="179"/>
      <c r="D89" s="85" t="s">
        <v>91</v>
      </c>
      <c r="E89" s="67" t="s">
        <v>18</v>
      </c>
      <c r="F89" s="79">
        <v>3358.6619999999998</v>
      </c>
      <c r="G89" s="67"/>
      <c r="H89" s="67">
        <f t="shared" ref="H89:H106" si="9">F89+G89</f>
        <v>3358.6619999999998</v>
      </c>
      <c r="I89" s="105">
        <v>171.98099999999999</v>
      </c>
      <c r="J89" s="67"/>
      <c r="K89" s="67">
        <f t="shared" si="7"/>
        <v>3186.6809999999996</v>
      </c>
      <c r="L89" s="86">
        <f t="shared" si="5"/>
        <v>5.1205212075522935E-2</v>
      </c>
      <c r="M89" s="27" t="s">
        <v>263</v>
      </c>
    </row>
    <row r="90" spans="2:13">
      <c r="B90" s="62">
        <v>68</v>
      </c>
      <c r="C90" s="179"/>
      <c r="D90" s="85" t="s">
        <v>92</v>
      </c>
      <c r="E90" s="67" t="s">
        <v>18</v>
      </c>
      <c r="F90" s="79">
        <v>219.76499999999999</v>
      </c>
      <c r="G90" s="67">
        <f>130</f>
        <v>130</v>
      </c>
      <c r="H90" s="67">
        <f t="shared" si="9"/>
        <v>349.76499999999999</v>
      </c>
      <c r="I90" s="105">
        <v>234.37099999999998</v>
      </c>
      <c r="J90" s="67"/>
      <c r="K90" s="67">
        <f t="shared" si="7"/>
        <v>115.39400000000001</v>
      </c>
      <c r="L90" s="86">
        <f t="shared" ref="L90:L107" si="10">I90/H90</f>
        <v>0.6700813403285063</v>
      </c>
      <c r="M90" s="67" t="s">
        <v>263</v>
      </c>
    </row>
    <row r="91" spans="2:13">
      <c r="B91" s="62">
        <v>69</v>
      </c>
      <c r="C91" s="179"/>
      <c r="D91" s="85" t="s">
        <v>93</v>
      </c>
      <c r="E91" s="67" t="s">
        <v>18</v>
      </c>
      <c r="F91" s="79">
        <v>1154.6990000000001</v>
      </c>
      <c r="G91" s="67"/>
      <c r="H91" s="67">
        <f t="shared" si="9"/>
        <v>1154.6990000000001</v>
      </c>
      <c r="I91" s="105">
        <v>584.21299999999997</v>
      </c>
      <c r="J91" s="67"/>
      <c r="K91" s="67">
        <f t="shared" si="7"/>
        <v>570.4860000000001</v>
      </c>
      <c r="L91" s="86">
        <f t="shared" si="10"/>
        <v>0.50594397327788443</v>
      </c>
      <c r="M91" s="27" t="s">
        <v>263</v>
      </c>
    </row>
    <row r="92" spans="2:13">
      <c r="B92" s="62">
        <v>70</v>
      </c>
      <c r="C92" s="179"/>
      <c r="D92" s="85" t="s">
        <v>94</v>
      </c>
      <c r="E92" s="67" t="s">
        <v>18</v>
      </c>
      <c r="F92" s="79">
        <v>110.402</v>
      </c>
      <c r="G92" s="67">
        <f>27</f>
        <v>27</v>
      </c>
      <c r="H92" s="67">
        <f t="shared" si="9"/>
        <v>137.40199999999999</v>
      </c>
      <c r="I92" s="105">
        <v>183.58700000000002</v>
      </c>
      <c r="J92" s="67"/>
      <c r="K92" s="67">
        <f t="shared" si="7"/>
        <v>-46.185000000000031</v>
      </c>
      <c r="L92" s="86">
        <f t="shared" si="10"/>
        <v>1.3361304784500956</v>
      </c>
      <c r="M92" s="67" t="s">
        <v>263</v>
      </c>
    </row>
    <row r="93" spans="2:13">
      <c r="B93" s="62">
        <v>71</v>
      </c>
      <c r="C93" s="179"/>
      <c r="D93" s="85" t="s">
        <v>95</v>
      </c>
      <c r="E93" s="67" t="s">
        <v>18</v>
      </c>
      <c r="F93" s="79">
        <v>1744.92</v>
      </c>
      <c r="G93" s="67">
        <f>-1740-4.9</f>
        <v>-1744.9</v>
      </c>
      <c r="H93" s="67">
        <f t="shared" si="9"/>
        <v>1.999999999998181E-2</v>
      </c>
      <c r="I93" s="105">
        <v>0</v>
      </c>
      <c r="J93" s="67"/>
      <c r="K93" s="67">
        <f t="shared" si="7"/>
        <v>1.999999999998181E-2</v>
      </c>
      <c r="L93" s="86">
        <f t="shared" si="10"/>
        <v>0</v>
      </c>
      <c r="M93" s="27" t="s">
        <v>263</v>
      </c>
    </row>
    <row r="94" spans="2:13">
      <c r="B94" s="62">
        <v>72</v>
      </c>
      <c r="C94" s="179"/>
      <c r="D94" s="85" t="s">
        <v>96</v>
      </c>
      <c r="E94" s="67" t="s">
        <v>18</v>
      </c>
      <c r="F94" s="79">
        <v>1921.38</v>
      </c>
      <c r="G94" s="67"/>
      <c r="H94" s="67">
        <f t="shared" si="9"/>
        <v>1921.38</v>
      </c>
      <c r="I94" s="105">
        <v>163.946</v>
      </c>
      <c r="J94" s="67"/>
      <c r="K94" s="67">
        <f t="shared" si="7"/>
        <v>1757.4340000000002</v>
      </c>
      <c r="L94" s="86">
        <f>(G94/F94)*-1</f>
        <v>0</v>
      </c>
      <c r="M94" s="67" t="s">
        <v>263</v>
      </c>
    </row>
    <row r="95" spans="2:13">
      <c r="B95" s="62">
        <v>73</v>
      </c>
      <c r="C95" s="179"/>
      <c r="D95" s="85" t="s">
        <v>97</v>
      </c>
      <c r="E95" s="67" t="s">
        <v>18</v>
      </c>
      <c r="F95" s="79">
        <v>2172.4920000000002</v>
      </c>
      <c r="G95" s="67"/>
      <c r="H95" s="67">
        <f t="shared" si="9"/>
        <v>2172.4920000000002</v>
      </c>
      <c r="I95" s="105">
        <v>358.82900000000006</v>
      </c>
      <c r="J95" s="67"/>
      <c r="K95" s="67">
        <f t="shared" si="7"/>
        <v>1813.663</v>
      </c>
      <c r="L95" s="86">
        <f t="shared" si="10"/>
        <v>0.16516930787317055</v>
      </c>
      <c r="M95" s="27" t="s">
        <v>263</v>
      </c>
    </row>
    <row r="96" spans="2:13">
      <c r="B96" s="62">
        <v>74</v>
      </c>
      <c r="C96" s="179"/>
      <c r="D96" s="85" t="s">
        <v>98</v>
      </c>
      <c r="E96" s="67" t="s">
        <v>18</v>
      </c>
      <c r="F96" s="79">
        <v>3370.1460000000002</v>
      </c>
      <c r="G96" s="67">
        <f>-350</f>
        <v>-350</v>
      </c>
      <c r="H96" s="67">
        <f t="shared" si="9"/>
        <v>3020.1460000000002</v>
      </c>
      <c r="I96" s="105">
        <v>212.59999999999997</v>
      </c>
      <c r="J96" s="67"/>
      <c r="K96" s="67">
        <f t="shared" si="7"/>
        <v>2807.5460000000003</v>
      </c>
      <c r="L96" s="86">
        <f t="shared" si="10"/>
        <v>7.0393947842256624E-2</v>
      </c>
      <c r="M96" s="67" t="s">
        <v>263</v>
      </c>
    </row>
    <row r="97" spans="2:14">
      <c r="B97" s="62">
        <v>75</v>
      </c>
      <c r="C97" s="179"/>
      <c r="D97" s="85" t="s">
        <v>171</v>
      </c>
      <c r="E97" s="67" t="s">
        <v>18</v>
      </c>
      <c r="F97" s="79">
        <v>1017.239</v>
      </c>
      <c r="G97" s="67"/>
      <c r="H97" s="67">
        <f t="shared" si="9"/>
        <v>1017.239</v>
      </c>
      <c r="I97" s="105">
        <v>4.5</v>
      </c>
      <c r="J97" s="67"/>
      <c r="K97" s="67">
        <f t="shared" si="7"/>
        <v>1012.739</v>
      </c>
      <c r="L97" s="86">
        <f t="shared" si="10"/>
        <v>4.4237391606102398E-3</v>
      </c>
      <c r="M97" s="27" t="s">
        <v>263</v>
      </c>
    </row>
    <row r="98" spans="2:14">
      <c r="B98" s="62">
        <v>76</v>
      </c>
      <c r="C98" s="179"/>
      <c r="D98" s="85" t="s">
        <v>172</v>
      </c>
      <c r="E98" s="67" t="s">
        <v>18</v>
      </c>
      <c r="F98" s="79">
        <v>15.13</v>
      </c>
      <c r="G98" s="67"/>
      <c r="H98" s="67">
        <f t="shared" si="9"/>
        <v>15.13</v>
      </c>
      <c r="I98" s="105">
        <v>1.6040000000000001</v>
      </c>
      <c r="J98" s="67"/>
      <c r="K98" s="67">
        <f t="shared" si="7"/>
        <v>13.526</v>
      </c>
      <c r="L98" s="86">
        <f t="shared" si="10"/>
        <v>0.10601454064771976</v>
      </c>
      <c r="M98" s="67" t="s">
        <v>263</v>
      </c>
    </row>
    <row r="99" spans="2:14">
      <c r="B99" s="62">
        <v>77</v>
      </c>
      <c r="C99" s="179"/>
      <c r="D99" s="85" t="s">
        <v>288</v>
      </c>
      <c r="E99" s="67" t="s">
        <v>18</v>
      </c>
      <c r="F99" s="79">
        <v>428.01400000000001</v>
      </c>
      <c r="G99" s="67"/>
      <c r="H99" s="67">
        <f t="shared" si="9"/>
        <v>428.01400000000001</v>
      </c>
      <c r="I99" s="105">
        <v>327.32900000000001</v>
      </c>
      <c r="J99" s="67"/>
      <c r="K99" s="67">
        <f t="shared" si="7"/>
        <v>100.685</v>
      </c>
      <c r="L99" s="86">
        <f t="shared" si="10"/>
        <v>0.76476236758610705</v>
      </c>
      <c r="M99" s="27" t="s">
        <v>263</v>
      </c>
    </row>
    <row r="100" spans="2:14">
      <c r="B100" s="62">
        <v>78</v>
      </c>
      <c r="C100" s="179"/>
      <c r="D100" s="85" t="s">
        <v>99</v>
      </c>
      <c r="E100" s="67" t="s">
        <v>18</v>
      </c>
      <c r="F100" s="79">
        <v>1624.6990000000001</v>
      </c>
      <c r="G100" s="67"/>
      <c r="H100" s="67">
        <f t="shared" si="9"/>
        <v>1624.6990000000001</v>
      </c>
      <c r="I100" s="105">
        <v>850.01099999999997</v>
      </c>
      <c r="J100" s="67"/>
      <c r="K100" s="67">
        <f t="shared" si="7"/>
        <v>774.6880000000001</v>
      </c>
      <c r="L100" s="86">
        <f t="shared" si="10"/>
        <v>0.52318060145294598</v>
      </c>
      <c r="M100" s="67" t="s">
        <v>263</v>
      </c>
    </row>
    <row r="101" spans="2:14">
      <c r="B101" s="62">
        <v>79</v>
      </c>
      <c r="C101" s="179"/>
      <c r="D101" s="85" t="s">
        <v>100</v>
      </c>
      <c r="E101" s="67" t="s">
        <v>18</v>
      </c>
      <c r="F101" s="79">
        <v>8702.402</v>
      </c>
      <c r="G101" s="67">
        <f>810+333+600</f>
        <v>1743</v>
      </c>
      <c r="H101" s="67">
        <f t="shared" ref="H101:H103" si="11">F101+G101</f>
        <v>10445.402</v>
      </c>
      <c r="I101" s="105">
        <v>1433.1889999999999</v>
      </c>
      <c r="J101" s="67"/>
      <c r="K101" s="67">
        <f t="shared" ref="K101:K103" si="12">H101-(I101+J101)</f>
        <v>9012.2129999999997</v>
      </c>
      <c r="L101" s="86">
        <f t="shared" ref="L101:L103" si="13">I101/H101</f>
        <v>0.1372076440906726</v>
      </c>
      <c r="M101" s="27" t="s">
        <v>263</v>
      </c>
    </row>
    <row r="102" spans="2:14">
      <c r="B102" s="62">
        <v>80</v>
      </c>
      <c r="C102" s="179"/>
      <c r="D102" s="85" t="s">
        <v>281</v>
      </c>
      <c r="E102" s="67" t="s">
        <v>18</v>
      </c>
      <c r="F102" s="79">
        <v>57.351999999999997</v>
      </c>
      <c r="G102" s="67"/>
      <c r="H102" s="67">
        <f t="shared" si="11"/>
        <v>57.351999999999997</v>
      </c>
      <c r="I102" s="105">
        <v>0</v>
      </c>
      <c r="J102" s="67"/>
      <c r="K102" s="67">
        <f t="shared" si="12"/>
        <v>57.351999999999997</v>
      </c>
      <c r="L102" s="86">
        <f t="shared" si="13"/>
        <v>0</v>
      </c>
      <c r="M102" s="67" t="s">
        <v>263</v>
      </c>
    </row>
    <row r="103" spans="2:14">
      <c r="B103" s="62">
        <v>81</v>
      </c>
      <c r="C103" s="179"/>
      <c r="D103" s="85" t="s">
        <v>248</v>
      </c>
      <c r="E103" s="67" t="s">
        <v>18</v>
      </c>
      <c r="F103" s="79">
        <v>82.472999999999999</v>
      </c>
      <c r="G103" s="67"/>
      <c r="H103" s="67">
        <f t="shared" si="11"/>
        <v>82.472999999999999</v>
      </c>
      <c r="I103" s="105">
        <v>88.040999999999997</v>
      </c>
      <c r="J103" s="67"/>
      <c r="K103" s="67">
        <f t="shared" si="12"/>
        <v>-5.5679999999999978</v>
      </c>
      <c r="L103" s="86">
        <f t="shared" si="13"/>
        <v>1.0675130042559382</v>
      </c>
      <c r="M103" s="67" t="s">
        <v>263</v>
      </c>
    </row>
    <row r="104" spans="2:14">
      <c r="B104" s="62">
        <v>82</v>
      </c>
      <c r="C104" s="179"/>
      <c r="D104" s="85" t="s">
        <v>101</v>
      </c>
      <c r="E104" s="67" t="s">
        <v>18</v>
      </c>
      <c r="F104" s="79">
        <v>1859.751</v>
      </c>
      <c r="G104" s="67">
        <f>-350+520.1</f>
        <v>170.10000000000002</v>
      </c>
      <c r="H104" s="67">
        <f t="shared" si="9"/>
        <v>2029.8510000000001</v>
      </c>
      <c r="I104" s="105">
        <v>442.12899999999996</v>
      </c>
      <c r="J104" s="67"/>
      <c r="K104" s="67">
        <f t="shared" si="7"/>
        <v>1587.7220000000002</v>
      </c>
      <c r="L104" s="86">
        <f t="shared" si="10"/>
        <v>0.21781352424389766</v>
      </c>
      <c r="M104" s="27" t="s">
        <v>263</v>
      </c>
    </row>
    <row r="105" spans="2:14">
      <c r="B105" s="62">
        <v>83</v>
      </c>
      <c r="C105" s="179"/>
      <c r="D105" s="85" t="s">
        <v>102</v>
      </c>
      <c r="E105" s="67" t="s">
        <v>18</v>
      </c>
      <c r="F105" s="79">
        <v>22.151</v>
      </c>
      <c r="G105" s="67"/>
      <c r="H105" s="67">
        <f t="shared" si="9"/>
        <v>22.151</v>
      </c>
      <c r="I105" s="105">
        <v>22.72</v>
      </c>
      <c r="J105" s="67"/>
      <c r="K105" s="67">
        <f t="shared" si="7"/>
        <v>-0.56899999999999906</v>
      </c>
      <c r="L105" s="86">
        <f t="shared" si="10"/>
        <v>1.0256873278858742</v>
      </c>
      <c r="M105" s="27">
        <v>45359</v>
      </c>
    </row>
    <row r="106" spans="2:14">
      <c r="C106" s="179"/>
      <c r="D106" s="85" t="s">
        <v>243</v>
      </c>
      <c r="E106" s="67" t="s">
        <v>18</v>
      </c>
      <c r="F106" s="67"/>
      <c r="G106" s="67">
        <f>4617+1300+818.517+275.594+200+298.985+349+1610.28+869.266+150+600+150+175+284+18+7515.964+805+1230+40+365+225+527.406+30+712.48+624+2334+296+124+460+965+50+868+131+100+260+1767.609+788+1102+2510.434+333+550+95+30+80+480+150+70+80+250+420+200+84+100+941+657+11+50+110+175+80+30+80+98+2263+197+414+100+0.15+3499.638+1220+75+100+185+250</f>
        <v>49004.322999999997</v>
      </c>
      <c r="H106" s="67">
        <f t="shared" si="9"/>
        <v>49004.322999999997</v>
      </c>
      <c r="I106" s="67">
        <f>'Cesiones Indiv y Colecti VIII'!R3</f>
        <v>17645.269999999997</v>
      </c>
      <c r="J106" s="67"/>
      <c r="K106" s="67">
        <f t="shared" si="7"/>
        <v>31359.053</v>
      </c>
      <c r="L106" s="92">
        <f t="shared" si="10"/>
        <v>0.36007578351811936</v>
      </c>
      <c r="M106" s="27" t="s">
        <v>263</v>
      </c>
    </row>
    <row r="107" spans="2:14">
      <c r="C107" s="179"/>
      <c r="D107" s="85" t="s">
        <v>229</v>
      </c>
      <c r="E107" s="67" t="s">
        <v>18</v>
      </c>
      <c r="F107" s="79">
        <f>SUM(F23:F105)</f>
        <v>181091.00900000008</v>
      </c>
      <c r="G107" s="67">
        <f>SUM(G23:G105)</f>
        <v>-2560.0670000000014</v>
      </c>
      <c r="H107" s="67">
        <f>F107+G107</f>
        <v>178530.94200000007</v>
      </c>
      <c r="I107" s="79">
        <f>SUM(I23:I105)</f>
        <v>46982.587999999989</v>
      </c>
      <c r="J107" s="67">
        <f>SUM(J23:J105)</f>
        <v>0</v>
      </c>
      <c r="K107" s="67">
        <f t="shared" si="7"/>
        <v>131548.35400000008</v>
      </c>
      <c r="L107" s="92">
        <f t="shared" si="10"/>
        <v>0.26316215818768252</v>
      </c>
      <c r="M107" s="67" t="s">
        <v>263</v>
      </c>
    </row>
    <row r="109" spans="2:14" ht="18.75" customHeight="1">
      <c r="C109" s="180" t="s">
        <v>42</v>
      </c>
      <c r="D109" s="85" t="s">
        <v>238</v>
      </c>
      <c r="E109" s="67" t="s">
        <v>18</v>
      </c>
      <c r="F109" s="67">
        <v>2680</v>
      </c>
      <c r="G109" s="67">
        <f>1079.624</f>
        <v>1079.624</v>
      </c>
      <c r="H109" s="67">
        <f>F109+G109</f>
        <v>3759.6239999999998</v>
      </c>
      <c r="I109" s="94">
        <v>5207.28</v>
      </c>
      <c r="J109" s="67"/>
      <c r="K109" s="67">
        <f t="shared" si="7"/>
        <v>-1447.6559999999999</v>
      </c>
      <c r="L109" s="86">
        <f>I109/H109</f>
        <v>1.3850533989569169</v>
      </c>
      <c r="M109" s="27">
        <v>45429</v>
      </c>
      <c r="N109" s="95"/>
    </row>
    <row r="110" spans="2:14" ht="18" customHeight="1">
      <c r="C110" s="181"/>
      <c r="D110" s="85" t="s">
        <v>185</v>
      </c>
      <c r="E110" s="67" t="s">
        <v>18</v>
      </c>
      <c r="F110" s="67">
        <v>0</v>
      </c>
      <c r="G110" s="67">
        <f>136+150+110+580+175+500+889.179+840+150</f>
        <v>3530.1790000000001</v>
      </c>
      <c r="H110" s="67">
        <f>F110+G110</f>
        <v>3530.1790000000001</v>
      </c>
      <c r="I110" s="67">
        <f>'Cesiones Ind IX-XIV'!S3</f>
        <v>1092.962</v>
      </c>
      <c r="J110" s="67"/>
      <c r="K110" s="67">
        <f t="shared" si="7"/>
        <v>2437.2170000000001</v>
      </c>
      <c r="L110" s="92">
        <f>I110/H110</f>
        <v>0.30960526364243851</v>
      </c>
      <c r="M110" s="67" t="s">
        <v>263</v>
      </c>
    </row>
    <row r="111" spans="2:14" ht="18" customHeight="1">
      <c r="C111" s="181"/>
      <c r="D111" s="85" t="s">
        <v>230</v>
      </c>
      <c r="E111" s="67" t="s">
        <v>18</v>
      </c>
      <c r="F111" s="67">
        <f>SUM(F109)</f>
        <v>2680</v>
      </c>
      <c r="G111" s="67">
        <f>SUM(G109)</f>
        <v>1079.624</v>
      </c>
      <c r="H111" s="67">
        <f>F111+G111</f>
        <v>3759.6239999999998</v>
      </c>
      <c r="I111" s="67">
        <f>SUM(I109)</f>
        <v>5207.28</v>
      </c>
      <c r="J111" s="67">
        <f>SUM(J109)</f>
        <v>0</v>
      </c>
      <c r="K111" s="67">
        <f t="shared" si="7"/>
        <v>-1447.6559999999999</v>
      </c>
      <c r="L111" s="92">
        <f>I111/H111</f>
        <v>1.3850533989569169</v>
      </c>
      <c r="M111" s="67" t="s">
        <v>263</v>
      </c>
    </row>
    <row r="113" spans="2:13" ht="15" customHeight="1">
      <c r="B113" s="62">
        <v>1</v>
      </c>
      <c r="C113" s="182" t="s">
        <v>43</v>
      </c>
      <c r="D113" s="85" t="s">
        <v>110</v>
      </c>
      <c r="E113" s="67" t="s">
        <v>18</v>
      </c>
      <c r="F113" s="67">
        <v>1012.208</v>
      </c>
      <c r="G113" s="67">
        <f>-330-200</f>
        <v>-530</v>
      </c>
      <c r="H113" s="67">
        <f>F113+G113</f>
        <v>482.20799999999997</v>
      </c>
      <c r="I113" s="88">
        <v>343.85599999999999</v>
      </c>
      <c r="J113" s="67"/>
      <c r="K113" s="67">
        <f t="shared" si="7"/>
        <v>138.35199999999998</v>
      </c>
      <c r="L113" s="86">
        <f>(I113+J113)/H113</f>
        <v>0.71308646890968219</v>
      </c>
      <c r="M113" s="87" t="s">
        <v>263</v>
      </c>
    </row>
    <row r="114" spans="2:13">
      <c r="B114" s="62">
        <v>2</v>
      </c>
      <c r="C114" s="183"/>
      <c r="D114" s="85" t="s">
        <v>111</v>
      </c>
      <c r="E114" s="67" t="s">
        <v>18</v>
      </c>
      <c r="F114" s="67">
        <v>2059.4609999999998</v>
      </c>
      <c r="G114" s="67">
        <f>-818.517</f>
        <v>-818.51700000000005</v>
      </c>
      <c r="H114" s="67">
        <f t="shared" ref="H114:H124" si="14">F114+G114</f>
        <v>1240.9439999999997</v>
      </c>
      <c r="I114" s="88">
        <v>1031.527</v>
      </c>
      <c r="J114" s="67"/>
      <c r="K114" s="67">
        <f t="shared" si="7"/>
        <v>209.41699999999969</v>
      </c>
      <c r="L114" s="86">
        <f t="shared" ref="L114:L125" si="15">(I114+J114)/H114</f>
        <v>0.83124379504635204</v>
      </c>
      <c r="M114" s="27"/>
    </row>
    <row r="115" spans="2:13">
      <c r="B115" s="62">
        <v>3</v>
      </c>
      <c r="C115" s="183"/>
      <c r="D115" s="85" t="s">
        <v>339</v>
      </c>
      <c r="E115" s="67" t="s">
        <v>18</v>
      </c>
      <c r="F115" s="67">
        <v>2605.1930000000002</v>
      </c>
      <c r="G115" s="67"/>
      <c r="H115" s="67">
        <f t="shared" si="14"/>
        <v>2605.1930000000002</v>
      </c>
      <c r="I115" s="88">
        <v>2057.5389999999998</v>
      </c>
      <c r="J115" s="67"/>
      <c r="K115" s="67">
        <f t="shared" si="7"/>
        <v>547.65400000000045</v>
      </c>
      <c r="L115" s="86">
        <f t="shared" si="15"/>
        <v>0.78978371276139603</v>
      </c>
      <c r="M115" s="27"/>
    </row>
    <row r="116" spans="2:13">
      <c r="B116" s="62">
        <v>4</v>
      </c>
      <c r="C116" s="183"/>
      <c r="D116" s="85" t="s">
        <v>112</v>
      </c>
      <c r="E116" s="67" t="s">
        <v>18</v>
      </c>
      <c r="F116" s="67">
        <v>2110.826</v>
      </c>
      <c r="G116" s="67">
        <f>-475</f>
        <v>-475</v>
      </c>
      <c r="H116" s="67">
        <f t="shared" si="14"/>
        <v>1635.826</v>
      </c>
      <c r="I116" s="88">
        <v>1038.7080000000001</v>
      </c>
      <c r="J116" s="67"/>
      <c r="K116" s="67">
        <f t="shared" si="7"/>
        <v>597.11799999999994</v>
      </c>
      <c r="L116" s="86">
        <f t="shared" si="15"/>
        <v>0.63497462444049679</v>
      </c>
      <c r="M116" s="87" t="s">
        <v>263</v>
      </c>
    </row>
    <row r="117" spans="2:13">
      <c r="B117" s="62">
        <v>5</v>
      </c>
      <c r="C117" s="183"/>
      <c r="D117" s="85" t="s">
        <v>113</v>
      </c>
      <c r="E117" s="67" t="s">
        <v>18</v>
      </c>
      <c r="F117" s="67">
        <v>10744.385</v>
      </c>
      <c r="G117" s="67">
        <f>-150+200</f>
        <v>50</v>
      </c>
      <c r="H117" s="67">
        <f t="shared" si="14"/>
        <v>10794.385</v>
      </c>
      <c r="I117" s="88">
        <v>8632.7259999999969</v>
      </c>
      <c r="J117" s="67"/>
      <c r="K117" s="67">
        <f t="shared" si="7"/>
        <v>2161.6590000000033</v>
      </c>
      <c r="L117" s="86">
        <f t="shared" si="15"/>
        <v>0.79974227341344573</v>
      </c>
      <c r="M117" s="87" t="s">
        <v>263</v>
      </c>
    </row>
    <row r="118" spans="2:13">
      <c r="B118" s="62">
        <v>6</v>
      </c>
      <c r="C118" s="183"/>
      <c r="D118" s="85" t="s">
        <v>114</v>
      </c>
      <c r="E118" s="67" t="s">
        <v>18</v>
      </c>
      <c r="F118" s="67">
        <v>2360.837</v>
      </c>
      <c r="G118" s="67">
        <f>-754</f>
        <v>-754</v>
      </c>
      <c r="H118" s="67">
        <f t="shared" si="14"/>
        <v>1606.837</v>
      </c>
      <c r="I118" s="88">
        <v>1061.69</v>
      </c>
      <c r="J118" s="67"/>
      <c r="K118" s="67">
        <f t="shared" si="7"/>
        <v>545.14699999999993</v>
      </c>
      <c r="L118" s="86">
        <f t="shared" si="15"/>
        <v>0.66073285591506792</v>
      </c>
      <c r="M118" s="27"/>
    </row>
    <row r="119" spans="2:13">
      <c r="B119" s="62">
        <v>7</v>
      </c>
      <c r="C119" s="183"/>
      <c r="D119" s="85" t="s">
        <v>115</v>
      </c>
      <c r="E119" s="67" t="s">
        <v>18</v>
      </c>
      <c r="F119" s="67">
        <v>1583.5340000000001</v>
      </c>
      <c r="G119" s="67"/>
      <c r="H119" s="67">
        <f t="shared" si="14"/>
        <v>1583.5340000000001</v>
      </c>
      <c r="I119" s="88">
        <v>881.86800000000017</v>
      </c>
      <c r="J119" s="67"/>
      <c r="K119" s="67">
        <f t="shared" si="7"/>
        <v>701.66599999999994</v>
      </c>
      <c r="L119" s="86">
        <f t="shared" si="15"/>
        <v>0.55689868357736561</v>
      </c>
      <c r="M119" s="87" t="s">
        <v>263</v>
      </c>
    </row>
    <row r="120" spans="2:13">
      <c r="B120" s="62">
        <v>8</v>
      </c>
      <c r="C120" s="183"/>
      <c r="D120" s="85" t="s">
        <v>116</v>
      </c>
      <c r="E120" s="67" t="s">
        <v>18</v>
      </c>
      <c r="F120" s="67">
        <v>1842.9590000000001</v>
      </c>
      <c r="G120" s="67"/>
      <c r="H120" s="67">
        <f t="shared" si="14"/>
        <v>1842.9590000000001</v>
      </c>
      <c r="I120" s="88">
        <v>1845.5620000000004</v>
      </c>
      <c r="J120" s="67"/>
      <c r="K120" s="67">
        <f t="shared" si="7"/>
        <v>-2.6030000000002929</v>
      </c>
      <c r="L120" s="86">
        <f t="shared" si="15"/>
        <v>1.0014124025548048</v>
      </c>
      <c r="M120" s="27" t="s">
        <v>263</v>
      </c>
    </row>
    <row r="121" spans="2:13">
      <c r="B121" s="62">
        <v>9</v>
      </c>
      <c r="C121" s="183"/>
      <c r="D121" s="85" t="s">
        <v>117</v>
      </c>
      <c r="E121" s="67" t="s">
        <v>18</v>
      </c>
      <c r="F121" s="135">
        <v>687.24800000000005</v>
      </c>
      <c r="G121" s="67">
        <f>-500</f>
        <v>-500</v>
      </c>
      <c r="H121" s="67">
        <f t="shared" si="14"/>
        <v>187.24800000000005</v>
      </c>
      <c r="I121" s="88">
        <v>0.26</v>
      </c>
      <c r="J121" s="67"/>
      <c r="K121" s="67">
        <f t="shared" si="7"/>
        <v>186.98800000000006</v>
      </c>
      <c r="L121" s="86">
        <f t="shared" si="15"/>
        <v>1.3885328548235492E-3</v>
      </c>
      <c r="M121" s="87" t="s">
        <v>263</v>
      </c>
    </row>
    <row r="122" spans="2:13">
      <c r="B122" s="62">
        <v>10</v>
      </c>
      <c r="C122" s="183"/>
      <c r="D122" s="85" t="s">
        <v>118</v>
      </c>
      <c r="E122" s="67" t="s">
        <v>18</v>
      </c>
      <c r="F122" s="67">
        <v>670.43899999999996</v>
      </c>
      <c r="G122" s="67">
        <f>-520.1</f>
        <v>-520.1</v>
      </c>
      <c r="H122" s="67">
        <f t="shared" si="14"/>
        <v>150.33899999999994</v>
      </c>
      <c r="I122" s="88">
        <v>143.01300000000001</v>
      </c>
      <c r="J122" s="67"/>
      <c r="K122" s="67">
        <f t="shared" si="7"/>
        <v>7.3259999999999366</v>
      </c>
      <c r="L122" s="86">
        <f t="shared" si="15"/>
        <v>0.95127012950731382</v>
      </c>
      <c r="M122" s="27"/>
    </row>
    <row r="123" spans="2:13">
      <c r="B123" s="62">
        <v>11</v>
      </c>
      <c r="C123" s="183"/>
      <c r="D123" s="85" t="s">
        <v>119</v>
      </c>
      <c r="E123" s="67" t="s">
        <v>18</v>
      </c>
      <c r="F123" s="67">
        <v>268.90899999999999</v>
      </c>
      <c r="G123" s="67"/>
      <c r="H123" s="67">
        <f t="shared" si="14"/>
        <v>268.90899999999999</v>
      </c>
      <c r="I123" s="88">
        <v>266.97399999999999</v>
      </c>
      <c r="J123" s="67"/>
      <c r="K123" s="67">
        <f t="shared" si="7"/>
        <v>1.9350000000000023</v>
      </c>
      <c r="L123" s="86">
        <f t="shared" si="15"/>
        <v>0.99280425720225052</v>
      </c>
      <c r="M123" s="87" t="s">
        <v>263</v>
      </c>
    </row>
    <row r="124" spans="2:13">
      <c r="C124" s="183"/>
      <c r="D124" s="85" t="s">
        <v>243</v>
      </c>
      <c r="E124" s="67" t="s">
        <v>18</v>
      </c>
      <c r="F124" s="67"/>
      <c r="G124" s="67">
        <f>100+863.028+350+330+400+390+450+150+863.028+287.676+143.838+143.838+180+180+4800+705+180+180+95+200+570+400+475</f>
        <v>12436.407999999999</v>
      </c>
      <c r="H124" s="67">
        <f t="shared" si="14"/>
        <v>12436.407999999999</v>
      </c>
      <c r="I124" s="67">
        <f>'Cesiones Ind IX-XIV'!U3</f>
        <v>1784.9610000000002</v>
      </c>
      <c r="J124" s="67"/>
      <c r="K124" s="67">
        <f t="shared" si="7"/>
        <v>10651.447</v>
      </c>
      <c r="L124" s="86">
        <f t="shared" si="15"/>
        <v>0.14352705379238123</v>
      </c>
      <c r="M124" s="87" t="s">
        <v>263</v>
      </c>
    </row>
    <row r="125" spans="2:13">
      <c r="C125" s="183"/>
      <c r="D125" s="96" t="s">
        <v>231</v>
      </c>
      <c r="E125" s="67" t="s">
        <v>18</v>
      </c>
      <c r="F125" s="67">
        <f>SUM(F113:F123)</f>
        <v>25945.998999999996</v>
      </c>
      <c r="G125" s="67">
        <f>SUM(G113:G123)</f>
        <v>-3547.6169999999997</v>
      </c>
      <c r="H125" s="67">
        <f>F125+G125</f>
        <v>22398.381999999998</v>
      </c>
      <c r="I125" s="67">
        <f>SUM(I113:I123)</f>
        <v>17303.722999999994</v>
      </c>
      <c r="J125" s="67">
        <f>SUM(J113:J123)</f>
        <v>0</v>
      </c>
      <c r="K125" s="67">
        <f t="shared" si="7"/>
        <v>5094.6590000000033</v>
      </c>
      <c r="L125" s="86">
        <f t="shared" si="15"/>
        <v>0.77254343639643241</v>
      </c>
      <c r="M125" s="67" t="s">
        <v>263</v>
      </c>
    </row>
    <row r="127" spans="2:13" ht="15" customHeight="1">
      <c r="B127" s="62">
        <v>1</v>
      </c>
      <c r="C127" s="182" t="s">
        <v>44</v>
      </c>
      <c r="D127" s="83" t="s">
        <v>103</v>
      </c>
      <c r="E127" s="67" t="s">
        <v>18</v>
      </c>
      <c r="F127" s="67">
        <v>701.60199999999998</v>
      </c>
      <c r="G127" s="67">
        <f>-200-298.985-110-70</f>
        <v>-678.98500000000001</v>
      </c>
      <c r="H127" s="67">
        <f t="shared" ref="H127:H138" si="16">F127+G127</f>
        <v>22.616999999999962</v>
      </c>
      <c r="I127" s="104">
        <v>1</v>
      </c>
      <c r="J127" s="67"/>
      <c r="K127" s="67">
        <f t="shared" si="7"/>
        <v>21.616999999999962</v>
      </c>
      <c r="L127" s="86">
        <f>I127/H127</f>
        <v>4.4214528894194707E-2</v>
      </c>
      <c r="M127" s="67" t="s">
        <v>263</v>
      </c>
    </row>
    <row r="128" spans="2:13">
      <c r="B128" s="62">
        <v>2</v>
      </c>
      <c r="C128" s="183"/>
      <c r="D128" s="83" t="s">
        <v>104</v>
      </c>
      <c r="E128" s="67" t="s">
        <v>18</v>
      </c>
      <c r="F128" s="67">
        <v>2503.607</v>
      </c>
      <c r="G128" s="67">
        <f>-1300-300</f>
        <v>-1600</v>
      </c>
      <c r="H128" s="67">
        <f t="shared" si="16"/>
        <v>903.60699999999997</v>
      </c>
      <c r="I128" s="88">
        <v>0.67100000000000004</v>
      </c>
      <c r="J128" s="67"/>
      <c r="K128" s="67">
        <f t="shared" si="7"/>
        <v>902.93599999999992</v>
      </c>
      <c r="L128" s="86">
        <f t="shared" ref="L128:L138" si="17">I128/H128</f>
        <v>7.4257946208916049E-4</v>
      </c>
      <c r="M128" s="67" t="s">
        <v>263</v>
      </c>
    </row>
    <row r="129" spans="2:13">
      <c r="B129" s="62">
        <v>3</v>
      </c>
      <c r="C129" s="183"/>
      <c r="D129" s="83" t="s">
        <v>252</v>
      </c>
      <c r="E129" s="67" t="s">
        <v>18</v>
      </c>
      <c r="F129" s="67">
        <v>2955.4740000000002</v>
      </c>
      <c r="G129" s="67">
        <f>-381-457-1102-457</f>
        <v>-2397</v>
      </c>
      <c r="H129" s="67">
        <f t="shared" si="16"/>
        <v>558.47400000000016</v>
      </c>
      <c r="I129" s="88">
        <v>1.5299999999999998</v>
      </c>
      <c r="J129" s="67"/>
      <c r="K129" s="67">
        <f t="shared" si="7"/>
        <v>556.94400000000019</v>
      </c>
      <c r="L129" s="86">
        <f t="shared" si="17"/>
        <v>2.7396082897323767E-3</v>
      </c>
      <c r="M129" s="67" t="s">
        <v>263</v>
      </c>
    </row>
    <row r="130" spans="2:13">
      <c r="B130" s="62">
        <v>4</v>
      </c>
      <c r="C130" s="183"/>
      <c r="D130" s="83" t="s">
        <v>105</v>
      </c>
      <c r="E130" s="67" t="s">
        <v>18</v>
      </c>
      <c r="F130" s="67">
        <v>919.26599999999996</v>
      </c>
      <c r="G130" s="67">
        <f>-869.266</f>
        <v>-869.26599999999996</v>
      </c>
      <c r="H130" s="67">
        <f t="shared" si="16"/>
        <v>50</v>
      </c>
      <c r="I130" s="88">
        <v>0</v>
      </c>
      <c r="J130" s="67"/>
      <c r="K130" s="67">
        <f t="shared" si="7"/>
        <v>50</v>
      </c>
      <c r="L130" s="86">
        <f t="shared" si="17"/>
        <v>0</v>
      </c>
      <c r="M130" s="27"/>
    </row>
    <row r="131" spans="2:13">
      <c r="B131" s="62">
        <v>5</v>
      </c>
      <c r="C131" s="183"/>
      <c r="D131" s="83" t="s">
        <v>290</v>
      </c>
      <c r="E131" s="67" t="s">
        <v>18</v>
      </c>
      <c r="F131" s="67">
        <v>965.93899999999996</v>
      </c>
      <c r="G131" s="67">
        <f>-400-500</f>
        <v>-900</v>
      </c>
      <c r="H131" s="67">
        <f t="shared" si="16"/>
        <v>65.938999999999965</v>
      </c>
      <c r="I131" s="88">
        <v>0</v>
      </c>
      <c r="J131" s="67"/>
      <c r="K131" s="67">
        <f t="shared" si="7"/>
        <v>65.938999999999965</v>
      </c>
      <c r="L131" s="86">
        <f t="shared" si="17"/>
        <v>0</v>
      </c>
      <c r="M131" s="67" t="s">
        <v>263</v>
      </c>
    </row>
    <row r="132" spans="2:13">
      <c r="B132" s="62">
        <v>6</v>
      </c>
      <c r="C132" s="183"/>
      <c r="D132" s="83" t="s">
        <v>291</v>
      </c>
      <c r="E132" s="67" t="s">
        <v>18</v>
      </c>
      <c r="F132" s="67">
        <v>200.78200000000001</v>
      </c>
      <c r="G132" s="67"/>
      <c r="H132" s="67">
        <f t="shared" si="16"/>
        <v>200.78200000000001</v>
      </c>
      <c r="I132" s="88">
        <v>0</v>
      </c>
      <c r="J132" s="67"/>
      <c r="K132" s="67">
        <f t="shared" si="7"/>
        <v>200.78200000000001</v>
      </c>
      <c r="L132" s="86">
        <f t="shared" si="17"/>
        <v>0</v>
      </c>
      <c r="M132" s="67" t="s">
        <v>263</v>
      </c>
    </row>
    <row r="133" spans="2:13">
      <c r="B133" s="62">
        <v>7</v>
      </c>
      <c r="C133" s="183"/>
      <c r="D133" s="83" t="s">
        <v>106</v>
      </c>
      <c r="E133" s="67" t="s">
        <v>18</v>
      </c>
      <c r="F133" s="67">
        <v>484.13400000000001</v>
      </c>
      <c r="G133" s="67">
        <f>-136-130</f>
        <v>-266</v>
      </c>
      <c r="H133" s="67">
        <f t="shared" si="16"/>
        <v>218.13400000000001</v>
      </c>
      <c r="I133" s="88">
        <v>0</v>
      </c>
      <c r="J133" s="67"/>
      <c r="K133" s="67">
        <f>H133-(I133+J133)</f>
        <v>218.13400000000001</v>
      </c>
      <c r="L133" s="86">
        <f>(G133/F133)*-1</f>
        <v>0.54943466065180302</v>
      </c>
      <c r="M133" s="67" t="s">
        <v>263</v>
      </c>
    </row>
    <row r="134" spans="2:13">
      <c r="B134" s="62">
        <v>8</v>
      </c>
      <c r="C134" s="183"/>
      <c r="D134" s="83" t="s">
        <v>107</v>
      </c>
      <c r="E134" s="67" t="s">
        <v>18</v>
      </c>
      <c r="F134" s="67">
        <v>2520.2190000000001</v>
      </c>
      <c r="G134" s="67">
        <f>-1663.771-700</f>
        <v>-2363.7709999999997</v>
      </c>
      <c r="H134" s="67">
        <f t="shared" si="16"/>
        <v>156.44800000000032</v>
      </c>
      <c r="I134" s="88">
        <v>2.2600000000000002</v>
      </c>
      <c r="J134" s="67"/>
      <c r="K134" s="67">
        <f>H134-(I134+J134)</f>
        <v>154.18800000000033</v>
      </c>
      <c r="L134" s="86">
        <f>I134/H134</f>
        <v>1.4445694416035972E-2</v>
      </c>
      <c r="M134" s="67" t="s">
        <v>263</v>
      </c>
    </row>
    <row r="135" spans="2:13">
      <c r="B135" s="62">
        <v>9</v>
      </c>
      <c r="C135" s="183"/>
      <c r="D135" s="83" t="s">
        <v>340</v>
      </c>
      <c r="E135" s="67" t="s">
        <v>18</v>
      </c>
      <c r="F135" s="67">
        <v>286.44600000000003</v>
      </c>
      <c r="G135" s="67">
        <f>-280</f>
        <v>-280</v>
      </c>
      <c r="H135" s="67">
        <f t="shared" si="16"/>
        <v>6.4460000000000264</v>
      </c>
      <c r="I135" s="88">
        <v>0</v>
      </c>
      <c r="J135" s="67"/>
      <c r="K135" s="67">
        <f>H135-(I135+J135)</f>
        <v>6.4460000000000264</v>
      </c>
      <c r="L135" s="86">
        <f>I135/H135</f>
        <v>0</v>
      </c>
      <c r="M135" s="67"/>
    </row>
    <row r="136" spans="2:13" ht="30">
      <c r="B136" s="62">
        <v>10</v>
      </c>
      <c r="C136" s="183"/>
      <c r="D136" s="83" t="s">
        <v>108</v>
      </c>
      <c r="E136" s="67" t="s">
        <v>18</v>
      </c>
      <c r="F136" s="67">
        <v>428.17099999999999</v>
      </c>
      <c r="G136" s="67">
        <f>-420</f>
        <v>-420</v>
      </c>
      <c r="H136" s="67">
        <f t="shared" si="16"/>
        <v>8.1709999999999923</v>
      </c>
      <c r="I136" s="88">
        <v>0</v>
      </c>
      <c r="J136" s="67"/>
      <c r="K136" s="67">
        <f t="shared" si="7"/>
        <v>8.1709999999999923</v>
      </c>
      <c r="L136" s="86">
        <f t="shared" si="17"/>
        <v>0</v>
      </c>
      <c r="M136" s="67" t="s">
        <v>263</v>
      </c>
    </row>
    <row r="137" spans="2:13">
      <c r="B137" s="62">
        <v>11</v>
      </c>
      <c r="C137" s="183"/>
      <c r="D137" s="83" t="s">
        <v>109</v>
      </c>
      <c r="E137" s="67" t="s">
        <v>18</v>
      </c>
      <c r="F137" s="67">
        <v>312.36500000000001</v>
      </c>
      <c r="G137" s="67"/>
      <c r="H137" s="67">
        <f t="shared" si="16"/>
        <v>312.36500000000001</v>
      </c>
      <c r="I137" s="88">
        <v>188.434</v>
      </c>
      <c r="J137" s="67"/>
      <c r="K137" s="67">
        <f t="shared" si="7"/>
        <v>123.93100000000001</v>
      </c>
      <c r="L137" s="86">
        <f t="shared" si="17"/>
        <v>0.60324940374241665</v>
      </c>
      <c r="M137" s="27"/>
    </row>
    <row r="138" spans="2:13">
      <c r="C138" s="184"/>
      <c r="D138" s="84" t="s">
        <v>227</v>
      </c>
      <c r="E138" s="97" t="s">
        <v>18</v>
      </c>
      <c r="F138" s="98">
        <f>SUM(F127:F137)</f>
        <v>12278.005000000001</v>
      </c>
      <c r="G138" s="98">
        <f>SUM(G127:G137)</f>
        <v>-9775.0220000000008</v>
      </c>
      <c r="H138" s="97">
        <f t="shared" si="16"/>
        <v>2502.9830000000002</v>
      </c>
      <c r="I138" s="98">
        <f>SUM(I127:I137)</f>
        <v>193.89500000000001</v>
      </c>
      <c r="J138" s="98">
        <f>SUM(J127:J137)</f>
        <v>0</v>
      </c>
      <c r="K138" s="97">
        <f t="shared" si="7"/>
        <v>2309.0880000000002</v>
      </c>
      <c r="L138" s="99">
        <f t="shared" si="17"/>
        <v>7.7465568084161981E-2</v>
      </c>
      <c r="M138" s="97" t="s">
        <v>263</v>
      </c>
    </row>
  </sheetData>
  <mergeCells count="9">
    <mergeCell ref="C23:C107"/>
    <mergeCell ref="C109:C111"/>
    <mergeCell ref="C113:C125"/>
    <mergeCell ref="C127:C138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T215"/>
  <sheetViews>
    <sheetView topLeftCell="A31" workbookViewId="0">
      <selection activeCell="H57" sqref="H57"/>
    </sheetView>
  </sheetViews>
  <sheetFormatPr baseColWidth="10" defaultRowHeight="15"/>
  <cols>
    <col min="4" max="4" width="49.28515625" customWidth="1"/>
    <col min="5" max="5" width="14.140625" customWidth="1"/>
    <col min="6" max="6" width="11.28515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  <col min="15" max="15" width="22.85546875" customWidth="1"/>
    <col min="16" max="16" width="22.7109375" customWidth="1"/>
    <col min="17" max="17" width="11.5703125" bestFit="1" customWidth="1"/>
    <col min="18" max="18" width="15.42578125" customWidth="1"/>
    <col min="19" max="19" width="14.28515625" customWidth="1"/>
    <col min="20" max="20" width="15" customWidth="1"/>
  </cols>
  <sheetData>
    <row r="2" spans="2:20">
      <c r="C2" s="193" t="s">
        <v>22</v>
      </c>
      <c r="D2" s="193"/>
      <c r="E2" s="193"/>
      <c r="F2" s="193"/>
      <c r="G2" s="193"/>
      <c r="H2" s="193"/>
      <c r="I2" s="193"/>
      <c r="J2" s="193"/>
      <c r="K2" s="193"/>
      <c r="L2" s="193"/>
    </row>
    <row r="3" spans="2:20">
      <c r="C3" s="194">
        <f>RESUMEN!B3</f>
        <v>45483</v>
      </c>
      <c r="D3" s="195"/>
      <c r="E3" s="195"/>
      <c r="F3" s="195"/>
      <c r="G3" s="195"/>
      <c r="H3" s="195"/>
      <c r="I3" s="195"/>
      <c r="J3" s="195"/>
      <c r="K3" s="195"/>
      <c r="L3" s="195"/>
    </row>
    <row r="5" spans="2:20">
      <c r="D5" s="138" t="s">
        <v>23</v>
      </c>
      <c r="E5" s="139">
        <v>59653</v>
      </c>
      <c r="O5" s="197" t="s">
        <v>253</v>
      </c>
      <c r="P5" s="197"/>
      <c r="Q5" s="197"/>
      <c r="R5" s="197"/>
      <c r="S5" s="197"/>
      <c r="T5" s="197"/>
    </row>
    <row r="6" spans="2:20" ht="20.25" customHeight="1">
      <c r="D6" s="137" t="s">
        <v>35</v>
      </c>
      <c r="E6" s="136" t="s">
        <v>0</v>
      </c>
      <c r="F6" s="42" t="s">
        <v>19</v>
      </c>
      <c r="G6" s="42" t="s">
        <v>1</v>
      </c>
      <c r="H6" s="42" t="s">
        <v>2</v>
      </c>
      <c r="I6" s="42" t="s">
        <v>3</v>
      </c>
      <c r="J6" s="42" t="s">
        <v>4</v>
      </c>
      <c r="K6" s="42" t="s">
        <v>5</v>
      </c>
      <c r="L6" s="42" t="s">
        <v>6</v>
      </c>
      <c r="O6" s="63" t="s">
        <v>35</v>
      </c>
      <c r="P6" s="63" t="s">
        <v>254</v>
      </c>
      <c r="Q6" s="63" t="s">
        <v>282</v>
      </c>
      <c r="R6" s="63" t="s">
        <v>256</v>
      </c>
      <c r="S6" s="63" t="s">
        <v>257</v>
      </c>
      <c r="T6" s="63" t="s">
        <v>255</v>
      </c>
    </row>
    <row r="7" spans="2:20" ht="15" customHeight="1">
      <c r="B7">
        <v>1</v>
      </c>
      <c r="C7" s="190" t="s">
        <v>20</v>
      </c>
      <c r="D7" s="1" t="s">
        <v>316</v>
      </c>
      <c r="E7" s="1" t="s">
        <v>18</v>
      </c>
      <c r="F7" s="1">
        <v>2.5000000000000001E-3</v>
      </c>
      <c r="G7" s="2">
        <f t="shared" ref="G7:G27" si="0">$E$5*F7</f>
        <v>149.13249999999999</v>
      </c>
      <c r="H7" s="1"/>
      <c r="I7" s="2">
        <f>G7+H7</f>
        <v>149.13249999999999</v>
      </c>
      <c r="J7" s="1"/>
      <c r="K7" s="2">
        <f>I7-J7</f>
        <v>149.13249999999999</v>
      </c>
      <c r="L7" s="32">
        <f>(H7/G7)*-1</f>
        <v>0</v>
      </c>
      <c r="O7" s="30"/>
      <c r="P7" s="64"/>
      <c r="Q7" s="64"/>
      <c r="R7" s="64"/>
      <c r="S7" s="64"/>
      <c r="T7" s="65"/>
    </row>
    <row r="8" spans="2:20">
      <c r="B8">
        <v>2</v>
      </c>
      <c r="C8" s="191"/>
      <c r="D8" s="1" t="s">
        <v>7</v>
      </c>
      <c r="E8" s="1" t="s">
        <v>18</v>
      </c>
      <c r="F8" s="1">
        <v>0.1889343</v>
      </c>
      <c r="G8" s="2">
        <f t="shared" si="0"/>
        <v>11270.4977979</v>
      </c>
      <c r="H8" s="1">
        <f>-2283.9-1898.95-100-1626-268-150</f>
        <v>-6326.85</v>
      </c>
      <c r="I8" s="2">
        <f t="shared" ref="I8:I23" si="1">G8+H8</f>
        <v>4943.6477978999992</v>
      </c>
      <c r="J8" s="1"/>
      <c r="K8" s="2">
        <f t="shared" ref="K8:K33" si="2">I8-J8</f>
        <v>4943.6477978999992</v>
      </c>
      <c r="L8" s="3">
        <f>(H8/G8)*-1</f>
        <v>0.56136384687274987</v>
      </c>
      <c r="O8" s="30"/>
      <c r="P8" s="64"/>
      <c r="Q8" s="64"/>
      <c r="R8" s="64"/>
      <c r="S8" s="64"/>
      <c r="T8" s="65"/>
    </row>
    <row r="9" spans="2:20">
      <c r="B9">
        <v>3</v>
      </c>
      <c r="C9" s="191"/>
      <c r="D9" s="1" t="s">
        <v>320</v>
      </c>
      <c r="E9" s="1" t="s">
        <v>18</v>
      </c>
      <c r="F9" s="1">
        <v>1.4E-2</v>
      </c>
      <c r="G9" s="2">
        <f t="shared" si="0"/>
        <v>835.14200000000005</v>
      </c>
      <c r="H9" s="1">
        <f>-650.932</f>
        <v>-650.93200000000002</v>
      </c>
      <c r="I9" s="2">
        <f t="shared" si="1"/>
        <v>184.21000000000004</v>
      </c>
      <c r="J9" s="52"/>
      <c r="K9" s="2">
        <f t="shared" si="2"/>
        <v>184.21000000000004</v>
      </c>
      <c r="L9" s="3">
        <f>(H9/G9)*-1</f>
        <v>0.77942673222038883</v>
      </c>
    </row>
    <row r="10" spans="2:20">
      <c r="B10">
        <v>4</v>
      </c>
      <c r="C10" s="191"/>
      <c r="D10" s="1" t="s">
        <v>8</v>
      </c>
      <c r="E10" s="1" t="s">
        <v>18</v>
      </c>
      <c r="F10" s="1">
        <v>0.19985240000000001</v>
      </c>
      <c r="G10" s="2">
        <f t="shared" si="0"/>
        <v>11921.7952172</v>
      </c>
      <c r="H10" s="1">
        <f>-560-850-160-570-643-1920-1500-1542-40-613</f>
        <v>-8398</v>
      </c>
      <c r="I10" s="2">
        <f t="shared" si="1"/>
        <v>3523.7952172000005</v>
      </c>
      <c r="J10" s="1"/>
      <c r="K10" s="2">
        <f t="shared" si="2"/>
        <v>3523.7952172000005</v>
      </c>
      <c r="L10" s="3">
        <f>(H10/G10)*-1</f>
        <v>0.70442411121807436</v>
      </c>
    </row>
    <row r="11" spans="2:20">
      <c r="B11">
        <v>5</v>
      </c>
      <c r="C11" s="191"/>
      <c r="D11" s="1" t="s">
        <v>9</v>
      </c>
      <c r="E11" s="1" t="s">
        <v>18</v>
      </c>
      <c r="F11" s="1">
        <v>0.15818460000000001</v>
      </c>
      <c r="G11" s="2">
        <f t="shared" si="0"/>
        <v>9436.185943800001</v>
      </c>
      <c r="H11" s="1">
        <f>-4075.823-1216-210</f>
        <v>-5501.8230000000003</v>
      </c>
      <c r="I11" s="2">
        <f t="shared" si="1"/>
        <v>3934.3629438000007</v>
      </c>
      <c r="J11" s="52">
        <v>245.11699999999999</v>
      </c>
      <c r="K11" s="2">
        <f t="shared" si="2"/>
        <v>3689.2459438000005</v>
      </c>
      <c r="L11" s="3">
        <f>J11/I11</f>
        <v>6.2301572961454839E-2</v>
      </c>
    </row>
    <row r="12" spans="2:20">
      <c r="B12">
        <v>6</v>
      </c>
      <c r="C12" s="191"/>
      <c r="D12" s="1" t="s">
        <v>12</v>
      </c>
      <c r="E12" s="1" t="s">
        <v>18</v>
      </c>
      <c r="F12" s="1">
        <v>2.7395699999999999E-2</v>
      </c>
      <c r="G12" s="2">
        <f t="shared" si="0"/>
        <v>1634.2356920999998</v>
      </c>
      <c r="H12" s="1">
        <f>-120-945</f>
        <v>-1065</v>
      </c>
      <c r="I12" s="2">
        <f t="shared" si="1"/>
        <v>569.23569209999982</v>
      </c>
      <c r="J12" s="1"/>
      <c r="K12" s="2">
        <f t="shared" si="2"/>
        <v>569.23569209999982</v>
      </c>
      <c r="L12" s="3">
        <f t="shared" ref="L12:L23" si="3">(H12/G12)*-1</f>
        <v>0.65168078579379851</v>
      </c>
    </row>
    <row r="13" spans="2:20">
      <c r="B13">
        <v>7</v>
      </c>
      <c r="C13" s="191"/>
      <c r="D13" s="1" t="s">
        <v>315</v>
      </c>
      <c r="E13" s="1" t="s">
        <v>18</v>
      </c>
      <c r="F13" s="1">
        <v>4.0000000000000001E-3</v>
      </c>
      <c r="G13" s="2">
        <f t="shared" si="0"/>
        <v>238.61199999999999</v>
      </c>
      <c r="H13" s="1"/>
      <c r="I13" s="2">
        <f t="shared" si="1"/>
        <v>238.61199999999999</v>
      </c>
      <c r="J13" s="1"/>
      <c r="K13" s="2">
        <f t="shared" si="2"/>
        <v>238.61199999999999</v>
      </c>
      <c r="L13" s="3">
        <f t="shared" si="3"/>
        <v>0</v>
      </c>
    </row>
    <row r="14" spans="2:20">
      <c r="B14">
        <v>8</v>
      </c>
      <c r="C14" s="191"/>
      <c r="D14" s="1" t="s">
        <v>309</v>
      </c>
      <c r="E14" s="1" t="s">
        <v>18</v>
      </c>
      <c r="F14" s="1">
        <v>2.5000000000000001E-4</v>
      </c>
      <c r="G14" s="2">
        <f t="shared" si="0"/>
        <v>14.91325</v>
      </c>
      <c r="H14" s="1"/>
      <c r="I14" s="2">
        <f t="shared" si="1"/>
        <v>14.91325</v>
      </c>
      <c r="J14" s="1"/>
      <c r="K14" s="2">
        <f t="shared" si="2"/>
        <v>14.91325</v>
      </c>
      <c r="L14" s="3">
        <f t="shared" si="3"/>
        <v>0</v>
      </c>
    </row>
    <row r="15" spans="2:20">
      <c r="B15">
        <v>9</v>
      </c>
      <c r="C15" s="191"/>
      <c r="D15" s="1" t="s">
        <v>308</v>
      </c>
      <c r="E15" s="1" t="s">
        <v>18</v>
      </c>
      <c r="F15" s="1">
        <v>7.9000000000000001E-4</v>
      </c>
      <c r="G15" s="2">
        <f t="shared" si="0"/>
        <v>47.125869999999999</v>
      </c>
      <c r="H15" s="1"/>
      <c r="I15" s="2">
        <f t="shared" si="1"/>
        <v>47.125869999999999</v>
      </c>
      <c r="J15" s="1"/>
      <c r="K15" s="2">
        <f t="shared" si="2"/>
        <v>47.125869999999999</v>
      </c>
      <c r="L15" s="3">
        <f t="shared" si="3"/>
        <v>0</v>
      </c>
    </row>
    <row r="16" spans="2:20">
      <c r="B16">
        <v>10</v>
      </c>
      <c r="C16" s="191"/>
      <c r="D16" s="119" t="s">
        <v>13</v>
      </c>
      <c r="E16" s="1" t="s">
        <v>18</v>
      </c>
      <c r="F16" s="1">
        <v>1.36E-5</v>
      </c>
      <c r="G16" s="2">
        <f t="shared" si="0"/>
        <v>0.81128080000000002</v>
      </c>
      <c r="H16" s="1"/>
      <c r="I16" s="2">
        <f t="shared" si="1"/>
        <v>0.81128080000000002</v>
      </c>
      <c r="J16" s="1"/>
      <c r="K16" s="2">
        <f t="shared" si="2"/>
        <v>0.81128080000000002</v>
      </c>
      <c r="L16" s="3">
        <f t="shared" si="3"/>
        <v>0</v>
      </c>
    </row>
    <row r="17" spans="2:12">
      <c r="B17">
        <v>11</v>
      </c>
      <c r="C17" s="191"/>
      <c r="D17" s="119" t="s">
        <v>14</v>
      </c>
      <c r="E17" s="1" t="s">
        <v>18</v>
      </c>
      <c r="F17" s="1">
        <v>5.95182E-2</v>
      </c>
      <c r="G17" s="2">
        <f t="shared" si="0"/>
        <v>3550.4391845999999</v>
      </c>
      <c r="H17" s="1">
        <f>-181-326-154-240-69-412-343-0.307-0.93-103</f>
        <v>-1829.2370000000001</v>
      </c>
      <c r="I17" s="2">
        <f t="shared" si="1"/>
        <v>1721.2021845999998</v>
      </c>
      <c r="J17" s="1"/>
      <c r="K17" s="2">
        <f t="shared" si="2"/>
        <v>1721.2021845999998</v>
      </c>
      <c r="L17" s="3">
        <f t="shared" si="3"/>
        <v>0.51521428896298249</v>
      </c>
    </row>
    <row r="18" spans="2:12">
      <c r="B18">
        <v>12</v>
      </c>
      <c r="C18" s="191"/>
      <c r="D18" s="119" t="s">
        <v>314</v>
      </c>
      <c r="E18" s="1" t="s">
        <v>18</v>
      </c>
      <c r="F18" s="1">
        <v>5.0000000000000001E-3</v>
      </c>
      <c r="G18" s="2">
        <f t="shared" si="0"/>
        <v>298.26499999999999</v>
      </c>
      <c r="H18" s="2">
        <f>-232.435</f>
        <v>-232.435</v>
      </c>
      <c r="I18" s="2">
        <f t="shared" si="1"/>
        <v>65.829999999999984</v>
      </c>
      <c r="J18" s="52"/>
      <c r="K18" s="2">
        <f t="shared" si="2"/>
        <v>65.829999999999984</v>
      </c>
      <c r="L18" s="3">
        <f t="shared" si="3"/>
        <v>0.77929022848808949</v>
      </c>
    </row>
    <row r="19" spans="2:12">
      <c r="B19">
        <v>13</v>
      </c>
      <c r="C19" s="191"/>
      <c r="D19" s="119" t="s">
        <v>11</v>
      </c>
      <c r="E19" s="1" t="s">
        <v>18</v>
      </c>
      <c r="F19" s="1">
        <v>2.2245299999999999E-2</v>
      </c>
      <c r="G19" s="2">
        <f t="shared" si="0"/>
        <v>1326.9988808999999</v>
      </c>
      <c r="H19" s="1"/>
      <c r="I19" s="2">
        <f t="shared" si="1"/>
        <v>1326.9988808999999</v>
      </c>
      <c r="J19" s="1"/>
      <c r="K19" s="2">
        <f t="shared" si="2"/>
        <v>1326.9988808999999</v>
      </c>
      <c r="L19" s="3">
        <f t="shared" si="3"/>
        <v>0</v>
      </c>
    </row>
    <row r="20" spans="2:12">
      <c r="B20">
        <v>14</v>
      </c>
      <c r="C20" s="191"/>
      <c r="D20" s="1" t="s">
        <v>15</v>
      </c>
      <c r="E20" s="1" t="s">
        <v>18</v>
      </c>
      <c r="F20" s="1">
        <v>1.2811700000000001E-2</v>
      </c>
      <c r="G20" s="2">
        <f t="shared" si="0"/>
        <v>764.25634009999999</v>
      </c>
      <c r="H20" s="1">
        <f>-520</f>
        <v>-520</v>
      </c>
      <c r="I20" s="2">
        <f t="shared" si="1"/>
        <v>244.25634009999999</v>
      </c>
      <c r="J20" s="52"/>
      <c r="K20" s="2">
        <f t="shared" si="2"/>
        <v>244.25634009999999</v>
      </c>
      <c r="L20" s="3">
        <f>(J20/I20)</f>
        <v>0</v>
      </c>
    </row>
    <row r="21" spans="2:12">
      <c r="B21">
        <v>15</v>
      </c>
      <c r="C21" s="191"/>
      <c r="D21" s="1" t="s">
        <v>312</v>
      </c>
      <c r="E21" s="1" t="s">
        <v>18</v>
      </c>
      <c r="F21" s="1">
        <v>0.01</v>
      </c>
      <c r="G21" s="2">
        <f t="shared" si="0"/>
        <v>596.53</v>
      </c>
      <c r="H21" s="1">
        <f>-464.952</f>
        <v>-464.952</v>
      </c>
      <c r="I21" s="2">
        <f t="shared" si="1"/>
        <v>131.57799999999997</v>
      </c>
      <c r="J21" s="1"/>
      <c r="K21" s="2">
        <f t="shared" si="2"/>
        <v>131.57799999999997</v>
      </c>
      <c r="L21" s="3">
        <f t="shared" si="3"/>
        <v>0.7794276901413173</v>
      </c>
    </row>
    <row r="22" spans="2:12">
      <c r="B22">
        <v>16</v>
      </c>
      <c r="C22" s="191"/>
      <c r="D22" s="1" t="s">
        <v>317</v>
      </c>
      <c r="E22" s="1" t="s">
        <v>18</v>
      </c>
      <c r="F22" s="1">
        <v>4.0000000000000001E-3</v>
      </c>
      <c r="G22" s="2">
        <f t="shared" si="0"/>
        <v>238.61199999999999</v>
      </c>
      <c r="H22" s="1">
        <f>-238.612</f>
        <v>-238.61199999999999</v>
      </c>
      <c r="I22" s="2">
        <f t="shared" si="1"/>
        <v>0</v>
      </c>
      <c r="J22" s="1"/>
      <c r="K22" s="2">
        <f t="shared" si="2"/>
        <v>0</v>
      </c>
      <c r="L22" s="3">
        <f t="shared" si="3"/>
        <v>1</v>
      </c>
    </row>
    <row r="23" spans="2:12">
      <c r="B23">
        <v>17</v>
      </c>
      <c r="C23" s="191"/>
      <c r="D23" s="1" t="s">
        <v>10</v>
      </c>
      <c r="E23" s="1" t="s">
        <v>18</v>
      </c>
      <c r="F23" s="1">
        <v>1.2460799999999999E-2</v>
      </c>
      <c r="G23" s="2">
        <f t="shared" si="0"/>
        <v>743.32410240000002</v>
      </c>
      <c r="H23" s="1">
        <f>-500.489</f>
        <v>-500.48899999999998</v>
      </c>
      <c r="I23" s="2">
        <f t="shared" si="1"/>
        <v>242.83510240000004</v>
      </c>
      <c r="J23" s="1"/>
      <c r="K23" s="2">
        <f t="shared" si="2"/>
        <v>242.83510240000004</v>
      </c>
      <c r="L23" s="3">
        <f t="shared" si="3"/>
        <v>0.67331194883100287</v>
      </c>
    </row>
    <row r="24" spans="2:12">
      <c r="B24">
        <v>18</v>
      </c>
      <c r="C24" s="191"/>
      <c r="D24" s="1" t="s">
        <v>319</v>
      </c>
      <c r="E24" s="1" t="s">
        <v>18</v>
      </c>
      <c r="F24" s="1">
        <v>1.7500000000000002E-2</v>
      </c>
      <c r="G24" s="2">
        <f t="shared" si="0"/>
        <v>1043.9275</v>
      </c>
      <c r="H24" s="1">
        <f>-813.633</f>
        <v>-813.63300000000004</v>
      </c>
      <c r="I24" s="2">
        <f t="shared" ref="I24:I27" si="4">G24+H24</f>
        <v>230.29449999999997</v>
      </c>
      <c r="J24" s="1"/>
      <c r="K24" s="2">
        <f t="shared" ref="K24" si="5">I24-J24</f>
        <v>230.29449999999997</v>
      </c>
      <c r="L24" s="3">
        <f t="shared" ref="L24" si="6">(H24/G24)*-1</f>
        <v>0.77939607875067951</v>
      </c>
    </row>
    <row r="25" spans="2:12">
      <c r="B25">
        <v>19</v>
      </c>
      <c r="C25" s="191"/>
      <c r="D25" s="1" t="s">
        <v>16</v>
      </c>
      <c r="E25" s="1" t="s">
        <v>18</v>
      </c>
      <c r="F25" s="1">
        <v>0.18105560000000001</v>
      </c>
      <c r="G25" s="2">
        <f t="shared" si="0"/>
        <v>10800.509706800001</v>
      </c>
      <c r="H25" s="1">
        <f>-3583-285-175-386-215</f>
        <v>-4644</v>
      </c>
      <c r="I25" s="2">
        <f t="shared" si="4"/>
        <v>6156.5097068000014</v>
      </c>
      <c r="J25" s="52">
        <v>575.04</v>
      </c>
      <c r="K25" s="2">
        <f t="shared" ref="K25:K27" si="7">I25-J25</f>
        <v>5581.4697068000014</v>
      </c>
      <c r="L25" s="3">
        <f>J25/I25</f>
        <v>9.3403572378819702E-2</v>
      </c>
    </row>
    <row r="26" spans="2:12">
      <c r="B26">
        <v>20</v>
      </c>
      <c r="C26" s="191"/>
      <c r="D26" s="1" t="s">
        <v>305</v>
      </c>
      <c r="E26" s="1" t="s">
        <v>18</v>
      </c>
      <c r="F26" s="1">
        <v>6.4013999999999998E-3</v>
      </c>
      <c r="G26" s="2">
        <f t="shared" si="0"/>
        <v>381.86271419999997</v>
      </c>
      <c r="H26" s="1">
        <f>-297.6</f>
        <v>-297.60000000000002</v>
      </c>
      <c r="I26" s="2">
        <f t="shared" ref="I26" si="8">G26+H26</f>
        <v>84.262714199999948</v>
      </c>
      <c r="J26" s="1"/>
      <c r="K26" s="2">
        <f t="shared" ref="K26" si="9">I26-J26</f>
        <v>84.262714199999948</v>
      </c>
      <c r="L26" s="3">
        <f t="shared" ref="L26:L29" si="10">(H26/G26)*-1</f>
        <v>0.7793376753828144</v>
      </c>
    </row>
    <row r="27" spans="2:12">
      <c r="B27">
        <v>21</v>
      </c>
      <c r="C27" s="191"/>
      <c r="D27" s="1" t="s">
        <v>17</v>
      </c>
      <c r="E27" s="1" t="s">
        <v>18</v>
      </c>
      <c r="F27" s="1">
        <v>7.6500000000000003E-5</v>
      </c>
      <c r="G27" s="2">
        <f t="shared" si="0"/>
        <v>4.5634544999999997</v>
      </c>
      <c r="H27" s="1"/>
      <c r="I27" s="2">
        <f t="shared" si="4"/>
        <v>4.5634544999999997</v>
      </c>
      <c r="J27" s="1"/>
      <c r="K27" s="2">
        <f t="shared" si="7"/>
        <v>4.5634544999999997</v>
      </c>
      <c r="L27" s="3">
        <f t="shared" si="10"/>
        <v>0</v>
      </c>
    </row>
    <row r="28" spans="2:12">
      <c r="B28">
        <v>22</v>
      </c>
      <c r="C28" s="191"/>
      <c r="D28" s="1" t="s">
        <v>318</v>
      </c>
      <c r="E28" s="1" t="s">
        <v>18</v>
      </c>
      <c r="F28" s="1">
        <v>1.8499999999999999E-2</v>
      </c>
      <c r="G28" s="2">
        <f t="shared" ref="G28" si="11">$E$5*F28</f>
        <v>1103.5805</v>
      </c>
      <c r="H28" s="1"/>
      <c r="I28" s="2">
        <f t="shared" ref="I28" si="12">G28+H28</f>
        <v>1103.5805</v>
      </c>
      <c r="J28" s="1"/>
      <c r="K28" s="2">
        <f t="shared" ref="K28" si="13">I28-J28</f>
        <v>1103.5805</v>
      </c>
      <c r="L28" s="3">
        <f t="shared" si="10"/>
        <v>0</v>
      </c>
    </row>
    <row r="29" spans="2:12">
      <c r="B29">
        <v>23</v>
      </c>
      <c r="C29" s="191"/>
      <c r="D29" s="1" t="s">
        <v>311</v>
      </c>
      <c r="E29" s="1" t="s">
        <v>18</v>
      </c>
      <c r="F29" s="1">
        <v>3.4500000000000003E-2</v>
      </c>
      <c r="G29" s="2">
        <f t="shared" ref="G29" si="14">$E$5*F29</f>
        <v>2058.0285000000003</v>
      </c>
      <c r="H29" s="1">
        <f>-232.475-674.178</f>
        <v>-906.65300000000002</v>
      </c>
      <c r="I29" s="2">
        <f t="shared" ref="I29" si="15">G29+H29</f>
        <v>1151.3755000000003</v>
      </c>
      <c r="J29" s="1"/>
      <c r="K29" s="2">
        <f t="shared" ref="K29" si="16">I29-J29</f>
        <v>1151.3755000000003</v>
      </c>
      <c r="L29" s="3">
        <f t="shared" si="10"/>
        <v>0.4405444336655201</v>
      </c>
    </row>
    <row r="30" spans="2:12">
      <c r="B30">
        <v>25</v>
      </c>
      <c r="C30" s="191"/>
      <c r="D30" s="1" t="s">
        <v>31</v>
      </c>
      <c r="E30" s="1" t="s">
        <v>18</v>
      </c>
      <c r="F30" s="1">
        <f>0.015-0.005-0.005-0.005</f>
        <v>0</v>
      </c>
      <c r="G30" s="2">
        <f t="shared" ref="G30:G32" si="17">$E$5*F30</f>
        <v>0</v>
      </c>
      <c r="H30" s="1"/>
      <c r="I30" s="2">
        <f t="shared" ref="I30:I32" si="18">G30+H30</f>
        <v>0</v>
      </c>
      <c r="J30" s="1"/>
      <c r="K30" s="2">
        <f t="shared" ref="K30:K32" si="19">I30-J30</f>
        <v>0</v>
      </c>
      <c r="L30" s="3">
        <v>0</v>
      </c>
    </row>
    <row r="31" spans="2:12">
      <c r="B31">
        <v>26</v>
      </c>
      <c r="C31" s="191"/>
      <c r="D31" s="1" t="s">
        <v>341</v>
      </c>
      <c r="E31" s="1" t="s">
        <v>18</v>
      </c>
      <c r="F31" s="1">
        <f>0.005+0.005+0.005+0.005</f>
        <v>0.02</v>
      </c>
      <c r="G31" s="2">
        <f t="shared" si="17"/>
        <v>1193.06</v>
      </c>
      <c r="H31" s="1"/>
      <c r="I31" s="2">
        <f t="shared" ref="I31" si="20">G31+H31</f>
        <v>1193.06</v>
      </c>
      <c r="J31" s="1"/>
      <c r="K31" s="2">
        <f t="shared" ref="K31" si="21">I31-J31</f>
        <v>1193.06</v>
      </c>
      <c r="L31" s="3">
        <f t="shared" ref="L31" si="22">(H31/G31)*-1</f>
        <v>0</v>
      </c>
    </row>
    <row r="32" spans="2:12">
      <c r="B32">
        <v>27</v>
      </c>
      <c r="C32" s="191"/>
      <c r="D32" s="1" t="s">
        <v>310</v>
      </c>
      <c r="E32" s="1" t="s">
        <v>18</v>
      </c>
      <c r="F32" s="1">
        <v>1.0000000000000001E-5</v>
      </c>
      <c r="G32" s="2">
        <f t="shared" si="17"/>
        <v>0.59653</v>
      </c>
      <c r="H32" s="1">
        <f>0.307+0.93</f>
        <v>1.2370000000000001</v>
      </c>
      <c r="I32" s="2">
        <f t="shared" si="18"/>
        <v>1.8335300000000001</v>
      </c>
      <c r="J32" s="1"/>
      <c r="K32" s="2">
        <f t="shared" si="19"/>
        <v>1.8335300000000001</v>
      </c>
      <c r="L32" s="3">
        <f>J32/I32</f>
        <v>0</v>
      </c>
    </row>
    <row r="33" spans="2:19">
      <c r="C33" s="192"/>
      <c r="D33" s="5" t="s">
        <v>218</v>
      </c>
      <c r="E33" s="5" t="s">
        <v>18</v>
      </c>
      <c r="F33" s="114">
        <f>SUM(F7:F32)</f>
        <v>1.0000000999999998</v>
      </c>
      <c r="G33" s="6">
        <f>$E$5*F33</f>
        <v>59653.005965299992</v>
      </c>
      <c r="H33" s="5">
        <f>SUM(H7:H32)</f>
        <v>-32388.979000000003</v>
      </c>
      <c r="I33" s="6">
        <f>G33+H33</f>
        <v>27264.026965299989</v>
      </c>
      <c r="J33" s="5">
        <f>SUM(J7:J32)</f>
        <v>820.15699999999993</v>
      </c>
      <c r="K33" s="6">
        <f t="shared" si="2"/>
        <v>26443.869965299989</v>
      </c>
      <c r="L33" s="7">
        <f>(H33/G33)*-1</f>
        <v>0.54295636030212113</v>
      </c>
    </row>
    <row r="35" spans="2:19">
      <c r="Q35" s="40"/>
      <c r="R35" s="40"/>
      <c r="S35" s="40"/>
    </row>
    <row r="36" spans="2:19">
      <c r="M36" s="40"/>
    </row>
    <row r="38" spans="2:19">
      <c r="D38" s="140" t="s">
        <v>24</v>
      </c>
      <c r="E38" s="1">
        <v>63928</v>
      </c>
    </row>
    <row r="39" spans="2:19">
      <c r="D39" s="44" t="s">
        <v>35</v>
      </c>
      <c r="E39" s="43" t="s">
        <v>0</v>
      </c>
      <c r="F39" s="44" t="s">
        <v>19</v>
      </c>
      <c r="G39" s="43" t="s">
        <v>1</v>
      </c>
      <c r="H39" s="43" t="s">
        <v>2</v>
      </c>
      <c r="I39" s="43" t="s">
        <v>3</v>
      </c>
      <c r="J39" s="43" t="s">
        <v>4</v>
      </c>
      <c r="K39" s="43" t="s">
        <v>5</v>
      </c>
      <c r="L39" s="43" t="s">
        <v>6</v>
      </c>
    </row>
    <row r="40" spans="2:19" ht="15" customHeight="1">
      <c r="B40">
        <v>1</v>
      </c>
      <c r="C40" s="196" t="s">
        <v>21</v>
      </c>
      <c r="D40" s="1" t="s">
        <v>7</v>
      </c>
      <c r="E40" s="1" t="s">
        <v>18</v>
      </c>
      <c r="F40" s="1">
        <v>8.84022E-2</v>
      </c>
      <c r="G40" s="2">
        <f>F40*$E$38</f>
        <v>5651.3758416000001</v>
      </c>
      <c r="H40" s="1">
        <f>-1610.28-712.48-50-868-84-100</f>
        <v>-3424.76</v>
      </c>
      <c r="I40" s="2">
        <f>G40+H40</f>
        <v>2226.6158415999998</v>
      </c>
      <c r="J40" s="1"/>
      <c r="K40" s="2">
        <f>I40-J40</f>
        <v>2226.6158415999998</v>
      </c>
      <c r="L40" s="54">
        <f>(H40/G40)*-1</f>
        <v>0.60600464311543523</v>
      </c>
    </row>
    <row r="41" spans="2:19">
      <c r="B41">
        <v>2</v>
      </c>
      <c r="C41" s="196"/>
      <c r="D41" s="1" t="s">
        <v>8</v>
      </c>
      <c r="E41" s="1" t="s">
        <v>18</v>
      </c>
      <c r="F41" s="1">
        <v>0.212974</v>
      </c>
      <c r="G41" s="2">
        <f>F41*$E$38</f>
        <v>13615.001871999999</v>
      </c>
      <c r="H41" s="1">
        <f>-805-1230-260-840-941-4800-705-2263-95-100</f>
        <v>-12039</v>
      </c>
      <c r="I41" s="2">
        <f t="shared" ref="I41:I65" si="23">G41+H41</f>
        <v>1576.0018719999989</v>
      </c>
      <c r="J41" s="1"/>
      <c r="K41" s="2">
        <f t="shared" ref="K41:K65" si="24">I41-J41</f>
        <v>1576.0018719999989</v>
      </c>
      <c r="L41" s="54">
        <f>(H41/G41)*-1</f>
        <v>0.88424519608468555</v>
      </c>
    </row>
    <row r="42" spans="2:19">
      <c r="B42">
        <v>3</v>
      </c>
      <c r="C42" s="196"/>
      <c r="D42" s="1" t="s">
        <v>9</v>
      </c>
      <c r="E42" s="1" t="s">
        <v>18</v>
      </c>
      <c r="F42" s="1">
        <v>0.21366289999999999</v>
      </c>
      <c r="G42" s="2">
        <f>F42*$E$38</f>
        <v>13659.041871199999</v>
      </c>
      <c r="H42" s="1">
        <f>-7515.964-2334-390</f>
        <v>-10239.964</v>
      </c>
      <c r="I42" s="2">
        <f t="shared" si="23"/>
        <v>3419.0778711999992</v>
      </c>
      <c r="J42" s="52">
        <v>134.80799999999999</v>
      </c>
      <c r="K42" s="2">
        <f t="shared" si="24"/>
        <v>3284.2698711999992</v>
      </c>
      <c r="L42" s="54">
        <f>J42/I42</f>
        <v>3.9428174811557075E-2</v>
      </c>
    </row>
    <row r="43" spans="2:19">
      <c r="B43">
        <v>4</v>
      </c>
      <c r="C43" s="196"/>
      <c r="D43" s="1" t="s">
        <v>33</v>
      </c>
      <c r="E43" s="1" t="s">
        <v>18</v>
      </c>
      <c r="F43" s="1">
        <v>1.0000000000000001E-5</v>
      </c>
      <c r="G43" s="2">
        <f t="shared" ref="G43:G64" si="25">F43*$E$38</f>
        <v>0.63928000000000007</v>
      </c>
      <c r="H43" s="1"/>
      <c r="I43" s="2">
        <f t="shared" si="23"/>
        <v>0.63928000000000007</v>
      </c>
      <c r="J43" s="1"/>
      <c r="K43" s="2">
        <f t="shared" si="24"/>
        <v>0.63928000000000007</v>
      </c>
      <c r="L43" s="54">
        <f t="shared" ref="L43:L65" si="26">(H43/G43)*-1</f>
        <v>0</v>
      </c>
    </row>
    <row r="44" spans="2:19">
      <c r="B44">
        <v>5</v>
      </c>
      <c r="C44" s="196"/>
      <c r="D44" s="119" t="s">
        <v>311</v>
      </c>
      <c r="E44" s="1" t="s">
        <v>18</v>
      </c>
      <c r="F44" s="41">
        <v>1.35E-2</v>
      </c>
      <c r="G44" s="2">
        <f t="shared" si="25"/>
        <v>863.02800000000002</v>
      </c>
      <c r="H44" s="1">
        <f>-863.028</f>
        <v>-863.02800000000002</v>
      </c>
      <c r="I44" s="2">
        <f t="shared" si="23"/>
        <v>0</v>
      </c>
      <c r="J44" s="1"/>
      <c r="K44" s="2">
        <f t="shared" si="24"/>
        <v>0</v>
      </c>
      <c r="L44" s="54">
        <f t="shared" si="26"/>
        <v>1</v>
      </c>
    </row>
    <row r="45" spans="2:19">
      <c r="B45">
        <v>6</v>
      </c>
      <c r="C45" s="196"/>
      <c r="D45" s="1" t="s">
        <v>29</v>
      </c>
      <c r="E45" s="1" t="s">
        <v>18</v>
      </c>
      <c r="F45" s="1">
        <v>2.2499999999999998E-3</v>
      </c>
      <c r="G45" s="2">
        <f t="shared" si="25"/>
        <v>143.83799999999999</v>
      </c>
      <c r="H45" s="1">
        <f>-143.838</f>
        <v>-143.83799999999999</v>
      </c>
      <c r="I45" s="2">
        <f t="shared" si="23"/>
        <v>0</v>
      </c>
      <c r="J45" s="1"/>
      <c r="K45" s="2">
        <f t="shared" si="24"/>
        <v>0</v>
      </c>
      <c r="L45" s="54">
        <f t="shared" si="26"/>
        <v>1</v>
      </c>
    </row>
    <row r="46" spans="2:19">
      <c r="B46">
        <v>7</v>
      </c>
      <c r="C46" s="196"/>
      <c r="D46" s="1" t="s">
        <v>12</v>
      </c>
      <c r="E46" s="1" t="s">
        <v>18</v>
      </c>
      <c r="F46" s="1">
        <v>2.0339699999999999E-2</v>
      </c>
      <c r="G46" s="2">
        <f t="shared" si="25"/>
        <v>1300.2763416</v>
      </c>
      <c r="H46" s="1">
        <f>-124-965</f>
        <v>-1089</v>
      </c>
      <c r="I46" s="2">
        <f t="shared" si="23"/>
        <v>211.27634160000002</v>
      </c>
      <c r="J46" s="1"/>
      <c r="K46" s="2">
        <f t="shared" si="24"/>
        <v>211.27634160000002</v>
      </c>
      <c r="L46" s="54">
        <f t="shared" si="26"/>
        <v>0.83751427689592284</v>
      </c>
    </row>
    <row r="47" spans="2:19">
      <c r="B47">
        <v>8</v>
      </c>
      <c r="C47" s="196"/>
      <c r="D47" s="1" t="s">
        <v>309</v>
      </c>
      <c r="E47" s="1" t="s">
        <v>18</v>
      </c>
      <c r="F47" s="1">
        <v>2.8850000000000002E-4</v>
      </c>
      <c r="G47" s="2">
        <f t="shared" si="25"/>
        <v>18.443228000000001</v>
      </c>
      <c r="H47" s="2"/>
      <c r="I47" s="2">
        <f t="shared" si="23"/>
        <v>18.443228000000001</v>
      </c>
      <c r="J47" s="52"/>
      <c r="K47" s="2">
        <f t="shared" si="24"/>
        <v>18.443228000000001</v>
      </c>
      <c r="L47" s="54">
        <f t="shared" si="26"/>
        <v>0</v>
      </c>
    </row>
    <row r="48" spans="2:19">
      <c r="B48">
        <v>9</v>
      </c>
      <c r="C48" s="196"/>
      <c r="D48" s="1" t="s">
        <v>251</v>
      </c>
      <c r="E48" s="1" t="s">
        <v>18</v>
      </c>
      <c r="F48" s="41">
        <v>8.9999999999999993E-3</v>
      </c>
      <c r="G48" s="2">
        <f t="shared" si="25"/>
        <v>575.35199999999998</v>
      </c>
      <c r="H48" s="1"/>
      <c r="I48" s="2">
        <f t="shared" si="23"/>
        <v>575.35199999999998</v>
      </c>
      <c r="J48" s="1"/>
      <c r="K48" s="2">
        <f t="shared" si="24"/>
        <v>575.35199999999998</v>
      </c>
      <c r="L48" s="54">
        <f t="shared" si="26"/>
        <v>0</v>
      </c>
    </row>
    <row r="49" spans="2:12">
      <c r="B49">
        <v>10</v>
      </c>
      <c r="C49" s="196"/>
      <c r="D49" s="1" t="s">
        <v>308</v>
      </c>
      <c r="E49" s="1" t="s">
        <v>18</v>
      </c>
      <c r="F49" s="1">
        <v>1.5375E-3</v>
      </c>
      <c r="G49" s="2">
        <f t="shared" si="25"/>
        <v>98.289299999999997</v>
      </c>
      <c r="H49" s="1"/>
      <c r="I49" s="2">
        <f t="shared" si="23"/>
        <v>98.289299999999997</v>
      </c>
      <c r="J49" s="52"/>
      <c r="K49" s="2">
        <f t="shared" si="24"/>
        <v>98.289299999999997</v>
      </c>
      <c r="L49" s="54">
        <f>(J49/I49)</f>
        <v>0</v>
      </c>
    </row>
    <row r="50" spans="2:12">
      <c r="B50">
        <v>11</v>
      </c>
      <c r="C50" s="196"/>
      <c r="D50" s="1" t="s">
        <v>305</v>
      </c>
      <c r="E50" s="1" t="s">
        <v>18</v>
      </c>
      <c r="F50" s="1">
        <v>4.3109999999999997E-3</v>
      </c>
      <c r="G50" s="2">
        <f>F50*$E$38</f>
        <v>275.59360799999996</v>
      </c>
      <c r="H50" s="1">
        <f>-275.594</f>
        <v>-275.59399999999999</v>
      </c>
      <c r="I50" s="2">
        <f t="shared" si="23"/>
        <v>-3.9200000003347668E-4</v>
      </c>
      <c r="J50" s="1"/>
      <c r="K50" s="2">
        <f t="shared" si="24"/>
        <v>-3.9200000003347668E-4</v>
      </c>
      <c r="L50" s="148">
        <f t="shared" si="26"/>
        <v>1.0000014223842233</v>
      </c>
    </row>
    <row r="51" spans="2:12">
      <c r="B51">
        <v>12</v>
      </c>
      <c r="C51" s="196"/>
      <c r="D51" s="1" t="s">
        <v>25</v>
      </c>
      <c r="E51" s="1" t="s">
        <v>18</v>
      </c>
      <c r="F51" s="55">
        <v>8.2500000000000004E-3</v>
      </c>
      <c r="G51" s="2">
        <f>F51*$E$38</f>
        <v>527.40600000000006</v>
      </c>
      <c r="H51" s="1">
        <f>-527.406</f>
        <v>-527.40599999999995</v>
      </c>
      <c r="I51" s="2">
        <f t="shared" si="23"/>
        <v>0</v>
      </c>
      <c r="J51" s="1"/>
      <c r="K51" s="2">
        <f t="shared" si="24"/>
        <v>0</v>
      </c>
      <c r="L51" s="54">
        <f t="shared" si="26"/>
        <v>0.99999999999999978</v>
      </c>
    </row>
    <row r="52" spans="2:12">
      <c r="B52">
        <v>13</v>
      </c>
      <c r="C52" s="196"/>
      <c r="D52" s="1" t="s">
        <v>13</v>
      </c>
      <c r="E52" s="1" t="s">
        <v>18</v>
      </c>
      <c r="F52" s="1">
        <v>1.7E-5</v>
      </c>
      <c r="G52" s="2">
        <f t="shared" si="25"/>
        <v>1.086776</v>
      </c>
      <c r="H52" s="1"/>
      <c r="I52" s="2">
        <f t="shared" si="23"/>
        <v>1.086776</v>
      </c>
      <c r="J52" s="1"/>
      <c r="K52" s="2">
        <f t="shared" si="24"/>
        <v>1.086776</v>
      </c>
      <c r="L52" s="54">
        <f t="shared" si="26"/>
        <v>0</v>
      </c>
    </row>
    <row r="53" spans="2:12">
      <c r="B53">
        <v>14</v>
      </c>
      <c r="C53" s="196"/>
      <c r="D53" s="1" t="s">
        <v>28</v>
      </c>
      <c r="E53" s="1" t="s">
        <v>18</v>
      </c>
      <c r="F53" s="1">
        <v>4.4999999999999997E-3</v>
      </c>
      <c r="G53" s="2">
        <f t="shared" si="25"/>
        <v>287.67599999999999</v>
      </c>
      <c r="H53" s="1">
        <f>-287.676</f>
        <v>-287.67599999999999</v>
      </c>
      <c r="I53" s="2">
        <f t="shared" si="23"/>
        <v>0</v>
      </c>
      <c r="J53" s="1"/>
      <c r="K53" s="2">
        <f t="shared" si="24"/>
        <v>0</v>
      </c>
      <c r="L53" s="54">
        <f t="shared" si="26"/>
        <v>1</v>
      </c>
    </row>
    <row r="54" spans="2:12">
      <c r="B54">
        <v>15</v>
      </c>
      <c r="C54" s="196"/>
      <c r="D54" s="1" t="s">
        <v>14</v>
      </c>
      <c r="E54" s="1" t="s">
        <v>18</v>
      </c>
      <c r="F54" s="1">
        <v>8.2886199999999993E-2</v>
      </c>
      <c r="G54" s="2">
        <f t="shared" si="25"/>
        <v>5298.7489935999993</v>
      </c>
      <c r="H54" s="1">
        <f>-349-624-296-460-131-788-657-1.279-197</f>
        <v>-3503.279</v>
      </c>
      <c r="I54" s="2">
        <f t="shared" si="23"/>
        <v>1795.4699935999993</v>
      </c>
      <c r="J54" s="1"/>
      <c r="K54" s="2">
        <f t="shared" si="24"/>
        <v>1795.4699935999993</v>
      </c>
      <c r="L54" s="54">
        <f t="shared" si="26"/>
        <v>0.66115209537786634</v>
      </c>
    </row>
    <row r="55" spans="2:12">
      <c r="B55">
        <v>16</v>
      </c>
      <c r="C55" s="196"/>
      <c r="D55" s="1" t="s">
        <v>11</v>
      </c>
      <c r="E55" s="1" t="s">
        <v>18</v>
      </c>
      <c r="F55" s="1">
        <v>1.6059400000000001E-2</v>
      </c>
      <c r="G55" s="2">
        <f t="shared" si="25"/>
        <v>1026.6453232000001</v>
      </c>
      <c r="H55" s="1"/>
      <c r="I55" s="2">
        <f t="shared" si="23"/>
        <v>1026.6453232000001</v>
      </c>
      <c r="J55" s="1"/>
      <c r="K55" s="2">
        <f t="shared" si="24"/>
        <v>1026.6453232000001</v>
      </c>
      <c r="L55" s="54">
        <f t="shared" si="26"/>
        <v>0</v>
      </c>
    </row>
    <row r="56" spans="2:12">
      <c r="B56">
        <v>17</v>
      </c>
      <c r="C56" s="196"/>
      <c r="D56" s="1" t="s">
        <v>15</v>
      </c>
      <c r="E56" s="1" t="s">
        <v>18</v>
      </c>
      <c r="F56" s="1">
        <v>3.4309800000000001E-2</v>
      </c>
      <c r="G56" s="2">
        <f t="shared" si="25"/>
        <v>2193.3568943999999</v>
      </c>
      <c r="H56" s="1">
        <f>-1220</f>
        <v>-1220</v>
      </c>
      <c r="I56" s="2">
        <f t="shared" si="23"/>
        <v>973.35689439999987</v>
      </c>
      <c r="J56" s="1"/>
      <c r="K56" s="2">
        <f t="shared" si="24"/>
        <v>973.35689439999987</v>
      </c>
      <c r="L56" s="54">
        <f t="shared" si="26"/>
        <v>0.55622502799925544</v>
      </c>
    </row>
    <row r="57" spans="2:12">
      <c r="B57">
        <v>18</v>
      </c>
      <c r="C57" s="196"/>
      <c r="D57" s="1" t="s">
        <v>10</v>
      </c>
      <c r="E57" s="1" t="s">
        <v>18</v>
      </c>
      <c r="F57" s="1">
        <v>6.7746100000000004E-2</v>
      </c>
      <c r="G57" s="2">
        <f t="shared" si="25"/>
        <v>4330.8726808000001</v>
      </c>
      <c r="H57" s="1">
        <f>-3499.638</f>
        <v>-3499.6379999999999</v>
      </c>
      <c r="I57" s="2">
        <f t="shared" si="23"/>
        <v>831.23468080000021</v>
      </c>
      <c r="J57" s="1"/>
      <c r="K57" s="2">
        <f t="shared" si="24"/>
        <v>831.23468080000021</v>
      </c>
      <c r="L57" s="54">
        <f t="shared" si="26"/>
        <v>0.80806762468795224</v>
      </c>
    </row>
    <row r="58" spans="2:12">
      <c r="B58">
        <v>19</v>
      </c>
      <c r="C58" s="196"/>
      <c r="D58" s="1" t="s">
        <v>16</v>
      </c>
      <c r="E58" s="1" t="s">
        <v>18</v>
      </c>
      <c r="F58" s="1">
        <v>0.1697959</v>
      </c>
      <c r="G58" s="2">
        <f t="shared" si="25"/>
        <v>10854.712295200001</v>
      </c>
      <c r="H58" s="1">
        <f>-4617-365-225-414-185</f>
        <v>-5806</v>
      </c>
      <c r="I58" s="2">
        <f t="shared" si="23"/>
        <v>5048.7122952000009</v>
      </c>
      <c r="J58" s="52">
        <v>259.142</v>
      </c>
      <c r="K58" s="2">
        <f t="shared" si="24"/>
        <v>4789.5702952000011</v>
      </c>
      <c r="L58" s="54">
        <f>J58/I58</f>
        <v>5.1328335790965143E-2</v>
      </c>
    </row>
    <row r="59" spans="2:12">
      <c r="B59">
        <v>20</v>
      </c>
      <c r="C59" s="196"/>
      <c r="D59" s="1" t="s">
        <v>32</v>
      </c>
      <c r="E59" s="1" t="s">
        <v>18</v>
      </c>
      <c r="F59" s="1">
        <v>2.7650000000000001E-2</v>
      </c>
      <c r="G59" s="2">
        <f t="shared" si="25"/>
        <v>1767.6092000000001</v>
      </c>
      <c r="H59" s="1">
        <f>-1767.609</f>
        <v>-1767.6089999999999</v>
      </c>
      <c r="I59" s="2">
        <f t="shared" si="23"/>
        <v>2.0000000017716957E-4</v>
      </c>
      <c r="J59" s="1"/>
      <c r="K59" s="2">
        <f t="shared" si="24"/>
        <v>2.0000000017716957E-4</v>
      </c>
      <c r="L59" s="54">
        <f t="shared" si="26"/>
        <v>0.99999988685281782</v>
      </c>
    </row>
    <row r="60" spans="2:12">
      <c r="B60">
        <v>21</v>
      </c>
      <c r="C60" s="196"/>
      <c r="D60" s="1" t="s">
        <v>31</v>
      </c>
      <c r="E60" s="1" t="s">
        <v>18</v>
      </c>
      <c r="F60" s="1">
        <f>0.0045-0.00225-0.00225</f>
        <v>0</v>
      </c>
      <c r="G60" s="2">
        <f t="shared" si="25"/>
        <v>0</v>
      </c>
      <c r="H60" s="1"/>
      <c r="I60" s="2">
        <f t="shared" si="23"/>
        <v>0</v>
      </c>
      <c r="J60" s="1"/>
      <c r="K60" s="2">
        <f t="shared" si="24"/>
        <v>0</v>
      </c>
      <c r="L60" s="54">
        <v>0</v>
      </c>
    </row>
    <row r="61" spans="2:12">
      <c r="B61">
        <v>22</v>
      </c>
      <c r="C61" s="196"/>
      <c r="D61" s="1" t="s">
        <v>341</v>
      </c>
      <c r="E61" s="1" t="s">
        <v>18</v>
      </c>
      <c r="F61" s="1">
        <f>0.00225+0.00225+0.00225</f>
        <v>6.7499999999999991E-3</v>
      </c>
      <c r="G61" s="2">
        <f t="shared" si="25"/>
        <v>431.51399999999995</v>
      </c>
      <c r="H61" s="1"/>
      <c r="I61" s="2">
        <f t="shared" si="23"/>
        <v>431.51399999999995</v>
      </c>
      <c r="J61" s="1"/>
      <c r="K61" s="2">
        <f t="shared" si="24"/>
        <v>431.51399999999995</v>
      </c>
      <c r="L61" s="54">
        <f t="shared" si="26"/>
        <v>0</v>
      </c>
    </row>
    <row r="62" spans="2:12">
      <c r="B62">
        <v>23</v>
      </c>
      <c r="C62" s="196"/>
      <c r="D62" s="1" t="s">
        <v>26</v>
      </c>
      <c r="E62" s="1" t="s">
        <v>18</v>
      </c>
      <c r="F62" s="1">
        <v>1.35E-2</v>
      </c>
      <c r="G62" s="2">
        <f t="shared" ref="G62:G63" si="27">F62*$E$38</f>
        <v>863.02800000000002</v>
      </c>
      <c r="H62" s="1">
        <f>-863.028</f>
        <v>-863.02800000000002</v>
      </c>
      <c r="I62" s="2">
        <f t="shared" ref="I62:I63" si="28">G62+H62</f>
        <v>0</v>
      </c>
      <c r="J62" s="1"/>
      <c r="K62" s="2">
        <f t="shared" ref="K62:K63" si="29">I62-J62</f>
        <v>0</v>
      </c>
      <c r="L62" s="54">
        <f>(H62/G62)*-1</f>
        <v>1</v>
      </c>
    </row>
    <row r="63" spans="2:12">
      <c r="B63">
        <v>24</v>
      </c>
      <c r="C63" s="196"/>
      <c r="D63" s="1" t="s">
        <v>30</v>
      </c>
      <c r="E63" s="1" t="s">
        <v>18</v>
      </c>
      <c r="F63" s="1">
        <v>2.2499999999999998E-3</v>
      </c>
      <c r="G63" s="2">
        <f t="shared" si="27"/>
        <v>143.83799999999999</v>
      </c>
      <c r="H63" s="1">
        <f>-143.838</f>
        <v>-143.83799999999999</v>
      </c>
      <c r="I63" s="2">
        <f t="shared" si="28"/>
        <v>0</v>
      </c>
      <c r="J63" s="1"/>
      <c r="K63" s="2">
        <f t="shared" si="29"/>
        <v>0</v>
      </c>
      <c r="L63" s="54">
        <f t="shared" ref="L63" si="30">(H63/G63)*-1</f>
        <v>1</v>
      </c>
    </row>
    <row r="64" spans="2:12">
      <c r="B64">
        <v>25</v>
      </c>
      <c r="C64" s="196"/>
      <c r="D64" s="1" t="s">
        <v>268</v>
      </c>
      <c r="E64" s="1" t="s">
        <v>18</v>
      </c>
      <c r="F64" s="1">
        <v>1.0000000000000001E-5</v>
      </c>
      <c r="G64" s="2">
        <f t="shared" si="25"/>
        <v>0.63928000000000007</v>
      </c>
      <c r="H64" s="1">
        <f>1.279</f>
        <v>1.2789999999999999</v>
      </c>
      <c r="I64" s="2">
        <f t="shared" si="23"/>
        <v>1.91828</v>
      </c>
      <c r="J64" s="1"/>
      <c r="K64" s="2">
        <f t="shared" si="24"/>
        <v>1.91828</v>
      </c>
      <c r="L64" s="54">
        <f>J64/I64</f>
        <v>0</v>
      </c>
    </row>
    <row r="65" spans="2:12">
      <c r="C65" s="196"/>
      <c r="D65" s="5" t="s">
        <v>218</v>
      </c>
      <c r="E65" s="5" t="s">
        <v>18</v>
      </c>
      <c r="F65" s="114">
        <f>SUM(F40:F64)</f>
        <v>1.0000001999999997</v>
      </c>
      <c r="G65" s="114">
        <f>SUM(G40:G64)</f>
        <v>63928.012785599996</v>
      </c>
      <c r="H65" s="5">
        <f>SUM(H40:H64)</f>
        <v>-45692.378999999994</v>
      </c>
      <c r="I65" s="6">
        <f t="shared" si="23"/>
        <v>18235.633785600003</v>
      </c>
      <c r="J65" s="5">
        <f>SUM(J40:J64)</f>
        <v>393.95</v>
      </c>
      <c r="K65" s="6">
        <f t="shared" si="24"/>
        <v>17841.683785600002</v>
      </c>
      <c r="L65" s="149">
        <f t="shared" si="26"/>
        <v>0.71474736987745624</v>
      </c>
    </row>
    <row r="69" spans="2:12">
      <c r="D69" s="117" t="s">
        <v>294</v>
      </c>
      <c r="E69" s="118" t="s">
        <v>246</v>
      </c>
      <c r="F69" s="118">
        <v>63928</v>
      </c>
    </row>
    <row r="70" spans="2:12">
      <c r="C70" s="116" t="s">
        <v>295</v>
      </c>
      <c r="D70" s="116" t="s">
        <v>293</v>
      </c>
      <c r="E70" s="116" t="s">
        <v>292</v>
      </c>
      <c r="F70" s="116" t="s">
        <v>142</v>
      </c>
    </row>
    <row r="71" spans="2:12">
      <c r="B71">
        <v>1</v>
      </c>
      <c r="C71" s="30" t="s">
        <v>296</v>
      </c>
      <c r="D71" s="1" t="s">
        <v>25</v>
      </c>
      <c r="E71" s="30">
        <v>1.5E-3</v>
      </c>
      <c r="F71" s="1">
        <f t="shared" ref="F71:F102" si="31">E71*$F$69</f>
        <v>95.891999999999996</v>
      </c>
    </row>
    <row r="72" spans="2:12">
      <c r="B72">
        <v>2</v>
      </c>
      <c r="C72" s="30" t="s">
        <v>296</v>
      </c>
      <c r="D72" s="1" t="s">
        <v>26</v>
      </c>
      <c r="E72" s="30">
        <v>1.5E-3</v>
      </c>
      <c r="F72" s="1">
        <f t="shared" si="31"/>
        <v>95.891999999999996</v>
      </c>
    </row>
    <row r="73" spans="2:12">
      <c r="B73">
        <v>3</v>
      </c>
      <c r="C73" s="30" t="s">
        <v>296</v>
      </c>
      <c r="D73" s="1" t="s">
        <v>26</v>
      </c>
      <c r="E73" s="30">
        <v>1.5E-3</v>
      </c>
      <c r="F73" s="1">
        <f t="shared" si="31"/>
        <v>95.891999999999996</v>
      </c>
    </row>
    <row r="74" spans="2:12">
      <c r="B74">
        <v>4</v>
      </c>
      <c r="C74" s="30" t="s">
        <v>296</v>
      </c>
      <c r="D74" s="1" t="s">
        <v>26</v>
      </c>
      <c r="E74" s="30">
        <v>1.5E-3</v>
      </c>
      <c r="F74" s="1">
        <f t="shared" si="31"/>
        <v>95.891999999999996</v>
      </c>
    </row>
    <row r="75" spans="2:12">
      <c r="B75">
        <v>5</v>
      </c>
      <c r="C75" s="30" t="s">
        <v>296</v>
      </c>
      <c r="D75" s="1" t="s">
        <v>26</v>
      </c>
      <c r="E75" s="30">
        <v>1.5E-3</v>
      </c>
      <c r="F75" s="1">
        <f t="shared" si="31"/>
        <v>95.891999999999996</v>
      </c>
    </row>
    <row r="76" spans="2:12">
      <c r="B76">
        <v>6</v>
      </c>
      <c r="C76" s="30" t="s">
        <v>296</v>
      </c>
      <c r="D76" s="1" t="s">
        <v>26</v>
      </c>
      <c r="E76" s="30">
        <v>1.5E-3</v>
      </c>
      <c r="F76" s="1">
        <f t="shared" si="31"/>
        <v>95.891999999999996</v>
      </c>
    </row>
    <row r="77" spans="2:12">
      <c r="B77">
        <v>7</v>
      </c>
      <c r="C77" s="30" t="s">
        <v>296</v>
      </c>
      <c r="D77" s="1" t="s">
        <v>26</v>
      </c>
      <c r="E77" s="30">
        <v>1.5E-3</v>
      </c>
      <c r="F77" s="1">
        <f t="shared" si="31"/>
        <v>95.891999999999996</v>
      </c>
    </row>
    <row r="78" spans="2:12">
      <c r="B78">
        <v>8</v>
      </c>
      <c r="C78" s="30" t="s">
        <v>296</v>
      </c>
      <c r="D78" s="1" t="s">
        <v>26</v>
      </c>
      <c r="E78" s="30">
        <v>1.5E-3</v>
      </c>
      <c r="F78" s="1">
        <f t="shared" si="31"/>
        <v>95.891999999999996</v>
      </c>
    </row>
    <row r="79" spans="2:12">
      <c r="B79">
        <v>9</v>
      </c>
      <c r="C79" s="30" t="s">
        <v>296</v>
      </c>
      <c r="D79" s="1" t="s">
        <v>26</v>
      </c>
      <c r="E79" s="30">
        <v>1.5E-3</v>
      </c>
      <c r="F79" s="1">
        <f t="shared" si="31"/>
        <v>95.891999999999996</v>
      </c>
    </row>
    <row r="80" spans="2:12">
      <c r="B80">
        <v>10</v>
      </c>
      <c r="C80" s="30" t="s">
        <v>296</v>
      </c>
      <c r="D80" s="1" t="s">
        <v>26</v>
      </c>
      <c r="E80" s="30">
        <v>1.5E-3</v>
      </c>
      <c r="F80" s="1">
        <f t="shared" si="31"/>
        <v>95.891999999999996</v>
      </c>
    </row>
    <row r="81" spans="2:6">
      <c r="B81">
        <v>11</v>
      </c>
      <c r="C81" s="30" t="s">
        <v>296</v>
      </c>
      <c r="D81" s="1" t="s">
        <v>27</v>
      </c>
      <c r="E81" s="30">
        <v>2.2499999999999998E-3</v>
      </c>
      <c r="F81" s="1">
        <f t="shared" si="31"/>
        <v>143.83799999999999</v>
      </c>
    </row>
    <row r="82" spans="2:6">
      <c r="B82">
        <v>12</v>
      </c>
      <c r="C82" s="30" t="s">
        <v>296</v>
      </c>
      <c r="D82" s="1" t="s">
        <v>25</v>
      </c>
      <c r="E82" s="30">
        <v>2.2499999999999998E-3</v>
      </c>
      <c r="F82" s="1">
        <f t="shared" si="31"/>
        <v>143.83799999999999</v>
      </c>
    </row>
    <row r="83" spans="2:6">
      <c r="B83">
        <v>13</v>
      </c>
      <c r="C83" s="30" t="s">
        <v>296</v>
      </c>
      <c r="D83" s="1" t="s">
        <v>27</v>
      </c>
      <c r="E83" s="30">
        <v>2.2499999999999998E-3</v>
      </c>
      <c r="F83" s="1">
        <f t="shared" si="31"/>
        <v>143.83799999999999</v>
      </c>
    </row>
    <row r="84" spans="2:6">
      <c r="B84">
        <v>14</v>
      </c>
      <c r="C84" s="30" t="s">
        <v>296</v>
      </c>
      <c r="D84" s="1" t="s">
        <v>25</v>
      </c>
      <c r="E84" s="30">
        <v>2.2499999999999998E-3</v>
      </c>
      <c r="F84" s="1">
        <f t="shared" si="31"/>
        <v>143.83799999999999</v>
      </c>
    </row>
    <row r="85" spans="2:6">
      <c r="B85">
        <v>15</v>
      </c>
      <c r="C85" s="30" t="s">
        <v>296</v>
      </c>
      <c r="D85" s="1" t="s">
        <v>297</v>
      </c>
      <c r="E85" s="30">
        <v>2.2499999999999998E-3</v>
      </c>
      <c r="F85" s="1">
        <f t="shared" si="31"/>
        <v>143.83799999999999</v>
      </c>
    </row>
    <row r="86" spans="2:6">
      <c r="B86">
        <v>16</v>
      </c>
      <c r="C86" s="30" t="s">
        <v>296</v>
      </c>
      <c r="D86" s="1" t="s">
        <v>29</v>
      </c>
      <c r="E86" s="30">
        <v>2.2499999999999998E-3</v>
      </c>
      <c r="F86" s="1">
        <f t="shared" si="31"/>
        <v>143.83799999999999</v>
      </c>
    </row>
    <row r="87" spans="2:6">
      <c r="B87">
        <v>17</v>
      </c>
      <c r="C87" s="30" t="s">
        <v>296</v>
      </c>
      <c r="D87" s="1" t="s">
        <v>298</v>
      </c>
      <c r="E87" s="30">
        <v>2.2499999999999998E-3</v>
      </c>
      <c r="F87" s="1">
        <f t="shared" si="31"/>
        <v>143.83799999999999</v>
      </c>
    </row>
    <row r="88" spans="2:6">
      <c r="B88">
        <v>18</v>
      </c>
      <c r="C88" s="30" t="s">
        <v>296</v>
      </c>
      <c r="D88" s="1" t="s">
        <v>27</v>
      </c>
      <c r="E88" s="30">
        <v>2.2499999999999998E-3</v>
      </c>
      <c r="F88" s="1">
        <f t="shared" si="31"/>
        <v>143.83799999999999</v>
      </c>
    </row>
    <row r="89" spans="2:6">
      <c r="B89">
        <v>19</v>
      </c>
      <c r="C89" s="30" t="s">
        <v>296</v>
      </c>
      <c r="D89" s="1" t="s">
        <v>298</v>
      </c>
      <c r="E89" s="30">
        <v>2.2499999999999998E-3</v>
      </c>
      <c r="F89" s="1">
        <f t="shared" si="31"/>
        <v>143.83799999999999</v>
      </c>
    </row>
    <row r="90" spans="2:6">
      <c r="B90">
        <v>20</v>
      </c>
      <c r="C90" s="30" t="s">
        <v>296</v>
      </c>
      <c r="D90" s="1" t="s">
        <v>298</v>
      </c>
      <c r="E90" s="30">
        <v>2.2499999999999998E-3</v>
      </c>
      <c r="F90" s="1">
        <f t="shared" si="31"/>
        <v>143.83799999999999</v>
      </c>
    </row>
    <row r="91" spans="2:6">
      <c r="B91">
        <v>21</v>
      </c>
      <c r="C91" s="30" t="s">
        <v>296</v>
      </c>
      <c r="D91" s="1" t="s">
        <v>298</v>
      </c>
      <c r="E91" s="30">
        <v>2.2499999999999998E-3</v>
      </c>
      <c r="F91" s="1">
        <f t="shared" si="31"/>
        <v>143.83799999999999</v>
      </c>
    </row>
    <row r="92" spans="2:6">
      <c r="B92">
        <v>22</v>
      </c>
      <c r="C92" s="30" t="s">
        <v>296</v>
      </c>
      <c r="D92" s="1" t="s">
        <v>30</v>
      </c>
      <c r="E92" s="30">
        <v>2.2499999999999998E-3</v>
      </c>
      <c r="F92" s="1">
        <f t="shared" si="31"/>
        <v>143.83799999999999</v>
      </c>
    </row>
    <row r="93" spans="2:6">
      <c r="B93">
        <v>23</v>
      </c>
      <c r="C93" s="30" t="s">
        <v>296</v>
      </c>
      <c r="D93" s="1" t="s">
        <v>25</v>
      </c>
      <c r="E93" s="30">
        <v>2.2499999999999998E-3</v>
      </c>
      <c r="F93" s="1">
        <f t="shared" si="31"/>
        <v>143.83799999999999</v>
      </c>
    </row>
    <row r="94" spans="2:6">
      <c r="B94">
        <v>24</v>
      </c>
      <c r="C94" s="30" t="s">
        <v>296</v>
      </c>
      <c r="D94" s="1" t="s">
        <v>297</v>
      </c>
      <c r="E94" s="30">
        <v>2.2499999999999998E-3</v>
      </c>
      <c r="F94" s="1">
        <f t="shared" si="31"/>
        <v>143.83799999999999</v>
      </c>
    </row>
    <row r="95" spans="2:6">
      <c r="B95">
        <v>25</v>
      </c>
      <c r="C95" s="30" t="s">
        <v>296</v>
      </c>
      <c r="D95" s="1" t="s">
        <v>31</v>
      </c>
      <c r="E95" s="30">
        <v>2.2499999999999998E-3</v>
      </c>
      <c r="F95" s="1">
        <f t="shared" si="31"/>
        <v>143.83799999999999</v>
      </c>
    </row>
    <row r="96" spans="2:6">
      <c r="B96">
        <v>26</v>
      </c>
      <c r="C96" s="30" t="s">
        <v>296</v>
      </c>
      <c r="D96" s="1" t="s">
        <v>341</v>
      </c>
      <c r="E96" s="30">
        <v>2.2499999999999998E-3</v>
      </c>
      <c r="F96" s="1">
        <f t="shared" si="31"/>
        <v>143.83799999999999</v>
      </c>
    </row>
    <row r="97" spans="2:6">
      <c r="B97">
        <v>27</v>
      </c>
      <c r="C97" s="30" t="s">
        <v>296</v>
      </c>
      <c r="D97" s="1" t="s">
        <v>31</v>
      </c>
      <c r="E97" s="30">
        <v>2.2499999999999998E-3</v>
      </c>
      <c r="F97" s="1">
        <f t="shared" si="31"/>
        <v>143.83799999999999</v>
      </c>
    </row>
    <row r="98" spans="2:6">
      <c r="B98">
        <v>28</v>
      </c>
      <c r="C98" s="30" t="s">
        <v>296</v>
      </c>
      <c r="D98" s="1" t="s">
        <v>27</v>
      </c>
      <c r="E98" s="30">
        <v>2.2499999999999998E-3</v>
      </c>
      <c r="F98" s="1">
        <f t="shared" si="31"/>
        <v>143.83799999999999</v>
      </c>
    </row>
    <row r="99" spans="2:6">
      <c r="B99">
        <v>29</v>
      </c>
      <c r="C99" s="30" t="s">
        <v>296</v>
      </c>
      <c r="D99" s="1" t="s">
        <v>27</v>
      </c>
      <c r="E99" s="30">
        <v>2.2499999999999998E-3</v>
      </c>
      <c r="F99" s="1">
        <f t="shared" si="31"/>
        <v>143.83799999999999</v>
      </c>
    </row>
    <row r="100" spans="2:6">
      <c r="B100">
        <v>30</v>
      </c>
      <c r="C100" s="30" t="s">
        <v>296</v>
      </c>
      <c r="D100" s="1" t="s">
        <v>27</v>
      </c>
      <c r="E100" s="30">
        <v>2.2499999999999998E-3</v>
      </c>
      <c r="F100" s="1">
        <f t="shared" si="31"/>
        <v>143.83799999999999</v>
      </c>
    </row>
    <row r="101" spans="2:6">
      <c r="B101">
        <v>31</v>
      </c>
      <c r="C101" s="30" t="s">
        <v>296</v>
      </c>
      <c r="D101" s="1" t="s">
        <v>9</v>
      </c>
      <c r="E101" s="30">
        <v>3.0000000000000001E-3</v>
      </c>
      <c r="F101" s="1">
        <f t="shared" si="31"/>
        <v>191.78399999999999</v>
      </c>
    </row>
    <row r="102" spans="2:6">
      <c r="B102">
        <v>32</v>
      </c>
      <c r="C102" s="30" t="s">
        <v>296</v>
      </c>
      <c r="D102" s="1" t="s">
        <v>32</v>
      </c>
      <c r="E102" s="30">
        <v>3.0000000000000001E-3</v>
      </c>
      <c r="F102" s="1">
        <f t="shared" si="31"/>
        <v>191.78399999999999</v>
      </c>
    </row>
    <row r="103" spans="2:6">
      <c r="B103">
        <v>33</v>
      </c>
      <c r="C103" s="30" t="s">
        <v>296</v>
      </c>
      <c r="D103" s="1" t="s">
        <v>9</v>
      </c>
      <c r="E103" s="30">
        <v>3.0000000000000001E-3</v>
      </c>
      <c r="F103" s="1">
        <f t="shared" ref="F103:F134" si="32">E103*$F$69</f>
        <v>191.78399999999999</v>
      </c>
    </row>
    <row r="104" spans="2:6">
      <c r="B104">
        <v>34</v>
      </c>
      <c r="C104" s="30" t="s">
        <v>296</v>
      </c>
      <c r="D104" s="1" t="s">
        <v>9</v>
      </c>
      <c r="E104" s="30">
        <v>3.0000000000000001E-3</v>
      </c>
      <c r="F104" s="1">
        <f t="shared" si="32"/>
        <v>191.78399999999999</v>
      </c>
    </row>
    <row r="105" spans="2:6">
      <c r="B105">
        <v>35</v>
      </c>
      <c r="C105" s="30" t="s">
        <v>296</v>
      </c>
      <c r="D105" s="1" t="s">
        <v>9</v>
      </c>
      <c r="E105" s="30">
        <v>3.0000000000000001E-3</v>
      </c>
      <c r="F105" s="1">
        <f t="shared" si="32"/>
        <v>191.78399999999999</v>
      </c>
    </row>
    <row r="106" spans="2:6">
      <c r="B106">
        <v>36</v>
      </c>
      <c r="C106" s="30" t="s">
        <v>296</v>
      </c>
      <c r="D106" s="1" t="s">
        <v>9</v>
      </c>
      <c r="E106" s="30">
        <v>3.0000000000000001E-3</v>
      </c>
      <c r="F106" s="1">
        <f t="shared" si="32"/>
        <v>191.78399999999999</v>
      </c>
    </row>
    <row r="107" spans="2:6">
      <c r="B107">
        <v>37</v>
      </c>
      <c r="C107" s="30" t="s">
        <v>296</v>
      </c>
      <c r="D107" s="1" t="s">
        <v>9</v>
      </c>
      <c r="E107" s="30">
        <v>3.0000000000000001E-3</v>
      </c>
      <c r="F107" s="1">
        <f t="shared" si="32"/>
        <v>191.78399999999999</v>
      </c>
    </row>
    <row r="108" spans="2:6">
      <c r="B108">
        <v>38</v>
      </c>
      <c r="C108" s="30" t="s">
        <v>296</v>
      </c>
      <c r="D108" s="1" t="s">
        <v>9</v>
      </c>
      <c r="E108" s="30">
        <v>3.0000000000000001E-3</v>
      </c>
      <c r="F108" s="1">
        <f t="shared" si="32"/>
        <v>191.78399999999999</v>
      </c>
    </row>
    <row r="109" spans="2:6">
      <c r="B109">
        <v>39</v>
      </c>
      <c r="C109" s="30" t="s">
        <v>296</v>
      </c>
      <c r="D109" s="1" t="s">
        <v>9</v>
      </c>
      <c r="E109" s="30">
        <v>3.0000000000000001E-3</v>
      </c>
      <c r="F109" s="1">
        <f t="shared" si="32"/>
        <v>191.78399999999999</v>
      </c>
    </row>
    <row r="110" spans="2:6">
      <c r="B110">
        <v>40</v>
      </c>
      <c r="C110" s="30" t="s">
        <v>296</v>
      </c>
      <c r="D110" s="1" t="s">
        <v>9</v>
      </c>
      <c r="E110" s="30">
        <v>3.0000000000000001E-3</v>
      </c>
      <c r="F110" s="1">
        <f t="shared" si="32"/>
        <v>191.78399999999999</v>
      </c>
    </row>
    <row r="111" spans="2:6">
      <c r="B111">
        <v>41</v>
      </c>
      <c r="C111" s="30" t="s">
        <v>296</v>
      </c>
      <c r="D111" s="1" t="s">
        <v>32</v>
      </c>
      <c r="E111" s="30">
        <v>2.15E-3</v>
      </c>
      <c r="F111" s="1">
        <f t="shared" si="32"/>
        <v>137.4452</v>
      </c>
    </row>
    <row r="112" spans="2:6">
      <c r="B112">
        <v>42</v>
      </c>
      <c r="C112" s="30" t="s">
        <v>296</v>
      </c>
      <c r="D112" s="1" t="s">
        <v>9</v>
      </c>
      <c r="E112" s="30">
        <v>2.3500000000000001E-3</v>
      </c>
      <c r="F112" s="1">
        <f t="shared" si="32"/>
        <v>150.23080000000002</v>
      </c>
    </row>
    <row r="113" spans="2:6">
      <c r="B113">
        <v>43</v>
      </c>
      <c r="C113" s="30" t="s">
        <v>296</v>
      </c>
      <c r="D113" s="1" t="s">
        <v>32</v>
      </c>
      <c r="E113" s="30">
        <v>4.4999999999999997E-3</v>
      </c>
      <c r="F113" s="1">
        <f t="shared" si="32"/>
        <v>287.67599999999999</v>
      </c>
    </row>
    <row r="114" spans="2:6">
      <c r="B114">
        <v>44</v>
      </c>
      <c r="C114" s="30" t="s">
        <v>296</v>
      </c>
      <c r="D114" s="1" t="s">
        <v>32</v>
      </c>
      <c r="E114" s="30">
        <v>4.4999999999999997E-3</v>
      </c>
      <c r="F114" s="1">
        <f t="shared" si="32"/>
        <v>287.67599999999999</v>
      </c>
    </row>
    <row r="115" spans="2:6">
      <c r="B115">
        <v>45</v>
      </c>
      <c r="C115" s="30" t="s">
        <v>296</v>
      </c>
      <c r="D115" s="1" t="s">
        <v>32</v>
      </c>
      <c r="E115" s="30">
        <v>4.4999999999999997E-3</v>
      </c>
      <c r="F115" s="1">
        <f t="shared" si="32"/>
        <v>287.67599999999999</v>
      </c>
    </row>
    <row r="116" spans="2:6">
      <c r="B116">
        <v>46</v>
      </c>
      <c r="C116" s="30" t="s">
        <v>296</v>
      </c>
      <c r="D116" s="1" t="s">
        <v>32</v>
      </c>
      <c r="E116" s="30">
        <v>4.4999999999999997E-3</v>
      </c>
      <c r="F116" s="1">
        <f t="shared" si="32"/>
        <v>287.67599999999999</v>
      </c>
    </row>
    <row r="117" spans="2:6">
      <c r="B117">
        <v>47</v>
      </c>
      <c r="C117" s="30" t="s">
        <v>296</v>
      </c>
      <c r="D117" s="1" t="s">
        <v>32</v>
      </c>
      <c r="E117" s="30">
        <v>4.4999999999999997E-3</v>
      </c>
      <c r="F117" s="1">
        <f t="shared" si="32"/>
        <v>287.67599999999999</v>
      </c>
    </row>
    <row r="118" spans="2:6">
      <c r="B118">
        <v>48</v>
      </c>
      <c r="C118" s="30" t="s">
        <v>296</v>
      </c>
      <c r="D118" s="1" t="s">
        <v>299</v>
      </c>
      <c r="E118" s="30">
        <v>1.0000000000000001E-5</v>
      </c>
      <c r="F118" s="1">
        <f t="shared" si="32"/>
        <v>0.63928000000000007</v>
      </c>
    </row>
    <row r="119" spans="2:6">
      <c r="B119">
        <v>49</v>
      </c>
      <c r="C119" s="30" t="s">
        <v>296</v>
      </c>
      <c r="D119" s="1" t="s">
        <v>300</v>
      </c>
      <c r="E119" s="30">
        <v>4.4900000000000001E-3</v>
      </c>
      <c r="F119" s="1">
        <f t="shared" si="32"/>
        <v>287.03672</v>
      </c>
    </row>
    <row r="120" spans="2:6">
      <c r="B120">
        <v>50</v>
      </c>
      <c r="C120" s="30" t="s">
        <v>296</v>
      </c>
      <c r="D120" s="1" t="s">
        <v>9</v>
      </c>
      <c r="E120" s="30">
        <v>4.4999999999999997E-3</v>
      </c>
      <c r="F120" s="1">
        <f t="shared" si="32"/>
        <v>287.67599999999999</v>
      </c>
    </row>
    <row r="121" spans="2:6">
      <c r="B121">
        <v>51</v>
      </c>
      <c r="C121" s="30" t="s">
        <v>296</v>
      </c>
      <c r="D121" s="1" t="s">
        <v>9</v>
      </c>
      <c r="E121" s="30">
        <v>6.0000000000000001E-3</v>
      </c>
      <c r="F121" s="1">
        <f t="shared" si="32"/>
        <v>383.56799999999998</v>
      </c>
    </row>
    <row r="122" spans="2:6">
      <c r="B122">
        <v>52</v>
      </c>
      <c r="C122" s="30" t="s">
        <v>296</v>
      </c>
      <c r="D122" s="1" t="s">
        <v>9</v>
      </c>
      <c r="E122" s="30">
        <v>6.0000000000000001E-3</v>
      </c>
      <c r="F122" s="1">
        <f t="shared" si="32"/>
        <v>383.56799999999998</v>
      </c>
    </row>
    <row r="123" spans="2:6">
      <c r="B123">
        <v>53</v>
      </c>
      <c r="C123" s="30" t="s">
        <v>296</v>
      </c>
      <c r="D123" s="1" t="s">
        <v>9</v>
      </c>
      <c r="E123" s="30">
        <v>6.0000000000000001E-3</v>
      </c>
      <c r="F123" s="1">
        <f t="shared" si="32"/>
        <v>383.56799999999998</v>
      </c>
    </row>
    <row r="124" spans="2:6" ht="15.75" thickBot="1">
      <c r="B124" s="113">
        <v>54</v>
      </c>
      <c r="C124" s="142" t="s">
        <v>296</v>
      </c>
      <c r="D124" s="141" t="s">
        <v>9</v>
      </c>
      <c r="E124" s="142">
        <v>6.0000000000000001E-3</v>
      </c>
      <c r="F124" s="141">
        <f t="shared" si="32"/>
        <v>383.56799999999998</v>
      </c>
    </row>
    <row r="125" spans="2:6">
      <c r="B125">
        <v>1</v>
      </c>
      <c r="C125" s="122" t="s">
        <v>301</v>
      </c>
      <c r="D125" s="119" t="s">
        <v>7</v>
      </c>
      <c r="E125" s="122">
        <v>8.84022E-2</v>
      </c>
      <c r="F125" s="119">
        <f t="shared" si="32"/>
        <v>5651.3758416000001</v>
      </c>
    </row>
    <row r="126" spans="2:6">
      <c r="B126">
        <v>2</v>
      </c>
      <c r="C126" s="30" t="s">
        <v>301</v>
      </c>
      <c r="D126" s="1" t="s">
        <v>302</v>
      </c>
      <c r="E126" s="30">
        <v>0.212974</v>
      </c>
      <c r="F126" s="1">
        <f t="shared" si="32"/>
        <v>13615.001871999999</v>
      </c>
    </row>
    <row r="127" spans="2:6">
      <c r="B127">
        <v>3</v>
      </c>
      <c r="C127" s="30" t="s">
        <v>301</v>
      </c>
      <c r="D127" s="1" t="s">
        <v>9</v>
      </c>
      <c r="E127" s="30">
        <v>0.1558129</v>
      </c>
      <c r="F127" s="1">
        <f t="shared" si="32"/>
        <v>9960.8070712000008</v>
      </c>
    </row>
    <row r="128" spans="2:6">
      <c r="B128">
        <v>4</v>
      </c>
      <c r="C128" s="30" t="s">
        <v>301</v>
      </c>
      <c r="D128" s="1" t="s">
        <v>303</v>
      </c>
      <c r="E128" s="30">
        <v>8.3744000000000006E-3</v>
      </c>
      <c r="F128" s="1">
        <f t="shared" si="32"/>
        <v>535.35864320000007</v>
      </c>
    </row>
    <row r="129" spans="2:6">
      <c r="B129">
        <v>5</v>
      </c>
      <c r="C129" s="30" t="s">
        <v>301</v>
      </c>
      <c r="D129" s="1" t="s">
        <v>303</v>
      </c>
      <c r="E129" s="30">
        <v>8.3744000000000006E-3</v>
      </c>
      <c r="F129" s="1">
        <f t="shared" si="32"/>
        <v>535.35864320000007</v>
      </c>
    </row>
    <row r="130" spans="2:6">
      <c r="B130">
        <v>6</v>
      </c>
      <c r="C130" s="30" t="s">
        <v>301</v>
      </c>
      <c r="D130" s="1" t="s">
        <v>303</v>
      </c>
      <c r="E130" s="30">
        <v>8.3744000000000006E-3</v>
      </c>
      <c r="F130" s="1">
        <f t="shared" si="32"/>
        <v>535.35864320000007</v>
      </c>
    </row>
    <row r="131" spans="2:6">
      <c r="B131">
        <v>7</v>
      </c>
      <c r="C131" s="30" t="s">
        <v>301</v>
      </c>
      <c r="D131" s="1" t="s">
        <v>304</v>
      </c>
      <c r="E131" s="30">
        <v>8.0429000000000004E-3</v>
      </c>
      <c r="F131" s="1">
        <f t="shared" si="32"/>
        <v>514.16651120000006</v>
      </c>
    </row>
    <row r="132" spans="2:6">
      <c r="B132">
        <v>8</v>
      </c>
      <c r="C132" s="30" t="s">
        <v>301</v>
      </c>
      <c r="D132" s="1" t="s">
        <v>12</v>
      </c>
      <c r="E132" s="30">
        <v>2.0339699999999999E-2</v>
      </c>
      <c r="F132" s="1">
        <f t="shared" si="32"/>
        <v>1300.2763416</v>
      </c>
    </row>
    <row r="133" spans="2:6">
      <c r="B133">
        <v>9</v>
      </c>
      <c r="C133" s="30" t="s">
        <v>301</v>
      </c>
      <c r="D133" s="1" t="s">
        <v>305</v>
      </c>
      <c r="E133" s="30">
        <v>4.3109999999999997E-3</v>
      </c>
      <c r="F133" s="1">
        <f t="shared" si="32"/>
        <v>275.59360799999996</v>
      </c>
    </row>
    <row r="134" spans="2:6">
      <c r="B134">
        <v>10</v>
      </c>
      <c r="C134" s="30" t="s">
        <v>301</v>
      </c>
      <c r="D134" s="1" t="s">
        <v>303</v>
      </c>
      <c r="E134" s="30">
        <v>8.3733999999999996E-3</v>
      </c>
      <c r="F134" s="1">
        <f t="shared" si="32"/>
        <v>535.29471519999993</v>
      </c>
    </row>
    <row r="135" spans="2:6">
      <c r="B135">
        <v>11</v>
      </c>
      <c r="C135" s="30" t="s">
        <v>301</v>
      </c>
      <c r="D135" s="1" t="s">
        <v>303</v>
      </c>
      <c r="E135" s="30">
        <v>8.3733999999999996E-3</v>
      </c>
      <c r="F135" s="1">
        <f t="shared" ref="F135:F146" si="33">E135*$F$69</f>
        <v>535.29471519999993</v>
      </c>
    </row>
    <row r="136" spans="2:6">
      <c r="B136">
        <v>12</v>
      </c>
      <c r="C136" s="30" t="s">
        <v>301</v>
      </c>
      <c r="D136" s="1" t="s">
        <v>303</v>
      </c>
      <c r="E136" s="30">
        <v>8.3733999999999996E-3</v>
      </c>
      <c r="F136" s="1">
        <f t="shared" si="33"/>
        <v>535.29471519999993</v>
      </c>
    </row>
    <row r="137" spans="2:6">
      <c r="B137">
        <v>13</v>
      </c>
      <c r="C137" s="30" t="s">
        <v>301</v>
      </c>
      <c r="D137" s="1" t="s">
        <v>303</v>
      </c>
      <c r="E137" s="30">
        <v>8.3733999999999996E-3</v>
      </c>
      <c r="F137" s="1">
        <f t="shared" si="33"/>
        <v>535.29471519999993</v>
      </c>
    </row>
    <row r="138" spans="2:6">
      <c r="B138">
        <v>14</v>
      </c>
      <c r="C138" s="30" t="s">
        <v>301</v>
      </c>
      <c r="D138" s="1" t="s">
        <v>304</v>
      </c>
      <c r="E138" s="30">
        <v>8.0164999999999993E-3</v>
      </c>
      <c r="F138" s="1">
        <f t="shared" si="33"/>
        <v>512.47881199999995</v>
      </c>
    </row>
    <row r="139" spans="2:6">
      <c r="B139">
        <v>15</v>
      </c>
      <c r="C139" s="30" t="s">
        <v>301</v>
      </c>
      <c r="D139" s="1" t="s">
        <v>306</v>
      </c>
      <c r="E139" s="30">
        <v>1.7E-5</v>
      </c>
      <c r="F139" s="1">
        <f t="shared" si="33"/>
        <v>1.086776</v>
      </c>
    </row>
    <row r="140" spans="2:6">
      <c r="B140">
        <v>16</v>
      </c>
      <c r="C140" s="30" t="s">
        <v>301</v>
      </c>
      <c r="D140" s="1" t="s">
        <v>307</v>
      </c>
      <c r="E140" s="30">
        <v>8.2886199999999993E-2</v>
      </c>
      <c r="F140" s="1">
        <f t="shared" si="33"/>
        <v>5298.7489935999993</v>
      </c>
    </row>
    <row r="141" spans="2:6">
      <c r="B141">
        <v>17</v>
      </c>
      <c r="C141" s="30" t="s">
        <v>301</v>
      </c>
      <c r="D141" s="1" t="s">
        <v>15</v>
      </c>
      <c r="E141" s="30">
        <v>3.4309800000000001E-2</v>
      </c>
      <c r="F141" s="1">
        <f t="shared" si="33"/>
        <v>2193.3568943999999</v>
      </c>
    </row>
    <row r="142" spans="2:6">
      <c r="B142">
        <v>18</v>
      </c>
      <c r="C142" s="30" t="s">
        <v>301</v>
      </c>
      <c r="D142" s="1" t="s">
        <v>308</v>
      </c>
      <c r="E142" s="30">
        <v>1.0000000000000001E-5</v>
      </c>
      <c r="F142" s="1">
        <f t="shared" si="33"/>
        <v>0.63928000000000007</v>
      </c>
    </row>
    <row r="143" spans="2:6">
      <c r="B143">
        <v>19</v>
      </c>
      <c r="C143" s="30" t="s">
        <v>301</v>
      </c>
      <c r="D143" s="1" t="s">
        <v>309</v>
      </c>
      <c r="E143" s="30">
        <v>1.5375E-3</v>
      </c>
      <c r="F143" s="1">
        <f t="shared" si="33"/>
        <v>98.289299999999997</v>
      </c>
    </row>
    <row r="144" spans="2:6">
      <c r="B144">
        <v>20</v>
      </c>
      <c r="C144" s="30" t="s">
        <v>301</v>
      </c>
      <c r="D144" s="1" t="s">
        <v>310</v>
      </c>
      <c r="E144" s="30">
        <v>2.8850000000000002E-4</v>
      </c>
      <c r="F144" s="1">
        <f t="shared" si="33"/>
        <v>18.443228000000001</v>
      </c>
    </row>
    <row r="145" spans="2:6">
      <c r="B145">
        <v>21</v>
      </c>
      <c r="C145" s="30" t="s">
        <v>301</v>
      </c>
      <c r="D145" s="1" t="s">
        <v>300</v>
      </c>
      <c r="E145" s="30">
        <v>0.16530590000000001</v>
      </c>
      <c r="F145" s="1">
        <f t="shared" si="33"/>
        <v>10567.675575200001</v>
      </c>
    </row>
    <row r="146" spans="2:6">
      <c r="B146">
        <v>22</v>
      </c>
      <c r="C146" s="30" t="s">
        <v>301</v>
      </c>
      <c r="D146" s="1" t="s">
        <v>303</v>
      </c>
      <c r="E146" s="30">
        <v>9.1292999999999999E-3</v>
      </c>
      <c r="F146" s="1">
        <f t="shared" si="33"/>
        <v>583.61789039999996</v>
      </c>
    </row>
    <row r="147" spans="2:6">
      <c r="D147" s="106" t="s">
        <v>142</v>
      </c>
      <c r="E147" s="120">
        <f>SUM(E71:E146)</f>
        <v>1.0000001999999999</v>
      </c>
      <c r="F147" s="119">
        <f>SUM(F71:F146)</f>
        <v>63928.012785599989</v>
      </c>
    </row>
    <row r="150" spans="2:6">
      <c r="D150" s="115" t="s">
        <v>20</v>
      </c>
      <c r="E150" s="118" t="s">
        <v>246</v>
      </c>
      <c r="F150" s="1">
        <v>46495</v>
      </c>
    </row>
    <row r="151" spans="2:6">
      <c r="C151" s="121" t="s">
        <v>295</v>
      </c>
      <c r="D151" s="121" t="s">
        <v>293</v>
      </c>
      <c r="E151" s="121" t="s">
        <v>292</v>
      </c>
      <c r="F151" s="121" t="s">
        <v>142</v>
      </c>
    </row>
    <row r="152" spans="2:6">
      <c r="B152">
        <v>1</v>
      </c>
      <c r="C152" s="30" t="s">
        <v>301</v>
      </c>
      <c r="D152" s="1" t="s">
        <v>7</v>
      </c>
      <c r="E152" s="30">
        <v>0.1889343</v>
      </c>
      <c r="F152" s="1">
        <f t="shared" ref="F152:F183" si="34">E152*$F$150</f>
        <v>8784.5002784999997</v>
      </c>
    </row>
    <row r="153" spans="2:6">
      <c r="B153">
        <v>2</v>
      </c>
      <c r="C153" s="30" t="s">
        <v>301</v>
      </c>
      <c r="D153" s="1" t="s">
        <v>8</v>
      </c>
      <c r="E153" s="30">
        <v>0.19985240000000001</v>
      </c>
      <c r="F153" s="1">
        <f t="shared" si="34"/>
        <v>9292.1373380000005</v>
      </c>
    </row>
    <row r="154" spans="2:6">
      <c r="B154">
        <v>3</v>
      </c>
      <c r="C154" s="30" t="s">
        <v>301</v>
      </c>
      <c r="D154" s="1" t="s">
        <v>9</v>
      </c>
      <c r="E154" s="30">
        <v>0.13818459999999999</v>
      </c>
      <c r="F154" s="1">
        <f t="shared" si="34"/>
        <v>6424.8929769999995</v>
      </c>
    </row>
    <row r="155" spans="2:6">
      <c r="B155">
        <v>4</v>
      </c>
      <c r="C155" s="30" t="s">
        <v>301</v>
      </c>
      <c r="D155" s="1" t="s">
        <v>10</v>
      </c>
      <c r="E155" s="30">
        <v>9.0276000000000002E-3</v>
      </c>
      <c r="F155" s="1">
        <f t="shared" si="34"/>
        <v>419.73826200000002</v>
      </c>
    </row>
    <row r="156" spans="2:6">
      <c r="B156">
        <v>5</v>
      </c>
      <c r="C156" s="30" t="s">
        <v>301</v>
      </c>
      <c r="D156" s="1" t="s">
        <v>11</v>
      </c>
      <c r="E156" s="30">
        <v>9.0189999999999992E-3</v>
      </c>
      <c r="F156" s="1">
        <f t="shared" si="34"/>
        <v>419.33840499999997</v>
      </c>
    </row>
    <row r="157" spans="2:6">
      <c r="B157">
        <v>6</v>
      </c>
      <c r="C157" s="30" t="s">
        <v>301</v>
      </c>
      <c r="D157" s="1" t="s">
        <v>12</v>
      </c>
      <c r="E157" s="30">
        <v>2.7395699999999999E-2</v>
      </c>
      <c r="F157" s="1">
        <f t="shared" si="34"/>
        <v>1273.7630715</v>
      </c>
    </row>
    <row r="158" spans="2:6">
      <c r="B158">
        <v>7</v>
      </c>
      <c r="C158" s="30" t="s">
        <v>301</v>
      </c>
      <c r="D158" s="1" t="s">
        <v>305</v>
      </c>
      <c r="E158" s="30">
        <v>6.4013999999999998E-3</v>
      </c>
      <c r="F158" s="1">
        <f t="shared" si="34"/>
        <v>297.63309299999997</v>
      </c>
    </row>
    <row r="159" spans="2:6">
      <c r="B159">
        <v>8</v>
      </c>
      <c r="C159" s="30" t="s">
        <v>301</v>
      </c>
      <c r="D159" s="1" t="s">
        <v>11</v>
      </c>
      <c r="E159" s="30">
        <v>8.1603000000000005E-3</v>
      </c>
      <c r="F159" s="1">
        <f t="shared" si="34"/>
        <v>379.41314850000003</v>
      </c>
    </row>
    <row r="160" spans="2:6">
      <c r="B160">
        <v>9</v>
      </c>
      <c r="C160" s="30" t="s">
        <v>301</v>
      </c>
      <c r="D160" s="1" t="s">
        <v>11</v>
      </c>
      <c r="E160" s="30">
        <v>5.0660000000000002E-3</v>
      </c>
      <c r="F160" s="1">
        <f t="shared" si="34"/>
        <v>235.54367000000002</v>
      </c>
    </row>
    <row r="161" spans="2:6">
      <c r="B161">
        <v>10</v>
      </c>
      <c r="C161" s="30" t="s">
        <v>301</v>
      </c>
      <c r="D161" s="1" t="s">
        <v>13</v>
      </c>
      <c r="E161" s="30">
        <v>1.36E-5</v>
      </c>
      <c r="F161" s="1">
        <f t="shared" si="34"/>
        <v>0.63233200000000001</v>
      </c>
    </row>
    <row r="162" spans="2:6">
      <c r="B162">
        <v>11</v>
      </c>
      <c r="C162" s="30" t="s">
        <v>301</v>
      </c>
      <c r="D162" s="1" t="s">
        <v>14</v>
      </c>
      <c r="E162" s="30">
        <v>5.95182E-2</v>
      </c>
      <c r="F162" s="1">
        <f t="shared" si="34"/>
        <v>2767.2987090000001</v>
      </c>
    </row>
    <row r="163" spans="2:6">
      <c r="B163">
        <v>12</v>
      </c>
      <c r="C163" s="30" t="s">
        <v>301</v>
      </c>
      <c r="D163" s="1" t="s">
        <v>15</v>
      </c>
      <c r="E163" s="30">
        <v>1.2811700000000001E-2</v>
      </c>
      <c r="F163" s="1">
        <f t="shared" si="34"/>
        <v>595.67999150000003</v>
      </c>
    </row>
    <row r="164" spans="2:6">
      <c r="B164">
        <v>13</v>
      </c>
      <c r="C164" s="30" t="s">
        <v>301</v>
      </c>
      <c r="D164" s="1" t="s">
        <v>308</v>
      </c>
      <c r="E164" s="30">
        <v>1.0000000000000001E-5</v>
      </c>
      <c r="F164" s="1">
        <f t="shared" si="34"/>
        <v>0.46495000000000003</v>
      </c>
    </row>
    <row r="165" spans="2:6">
      <c r="B165">
        <v>14</v>
      </c>
      <c r="C165" s="30" t="s">
        <v>301</v>
      </c>
      <c r="D165" s="1" t="s">
        <v>309</v>
      </c>
      <c r="E165" s="30">
        <v>7.9000000000000001E-4</v>
      </c>
      <c r="F165" s="1">
        <f t="shared" si="34"/>
        <v>36.731050000000003</v>
      </c>
    </row>
    <row r="166" spans="2:6">
      <c r="B166">
        <v>15</v>
      </c>
      <c r="C166" s="30" t="s">
        <v>301</v>
      </c>
      <c r="D166" s="1" t="s">
        <v>310</v>
      </c>
      <c r="E166" s="30">
        <v>2.5000000000000001E-4</v>
      </c>
      <c r="F166" s="1">
        <f t="shared" si="34"/>
        <v>11.623749999999999</v>
      </c>
    </row>
    <row r="167" spans="2:6">
      <c r="B167">
        <v>16</v>
      </c>
      <c r="C167" s="30" t="s">
        <v>301</v>
      </c>
      <c r="D167" s="1" t="s">
        <v>16</v>
      </c>
      <c r="E167" s="30">
        <v>0.18105560000000001</v>
      </c>
      <c r="F167" s="1">
        <f t="shared" si="34"/>
        <v>8418.1801219999998</v>
      </c>
    </row>
    <row r="168" spans="2:6">
      <c r="B168">
        <v>17</v>
      </c>
      <c r="C168" s="30" t="s">
        <v>301</v>
      </c>
      <c r="D168" s="1" t="s">
        <v>10</v>
      </c>
      <c r="E168" s="30">
        <v>3.4332E-3</v>
      </c>
      <c r="F168" s="1">
        <f t="shared" si="34"/>
        <v>159.626634</v>
      </c>
    </row>
    <row r="169" spans="2:6" ht="15.75" thickBot="1">
      <c r="B169" s="113">
        <v>18</v>
      </c>
      <c r="C169" s="142" t="s">
        <v>301</v>
      </c>
      <c r="D169" s="141" t="s">
        <v>17</v>
      </c>
      <c r="E169" s="142">
        <v>7.6500000000000003E-5</v>
      </c>
      <c r="F169" s="141">
        <f t="shared" si="34"/>
        <v>3.5568675000000001</v>
      </c>
    </row>
    <row r="170" spans="2:6">
      <c r="B170">
        <v>1</v>
      </c>
      <c r="C170" s="122" t="s">
        <v>296</v>
      </c>
      <c r="D170" s="119" t="s">
        <v>311</v>
      </c>
      <c r="E170" s="30">
        <v>5.0000000000000001E-3</v>
      </c>
      <c r="F170" s="119">
        <f t="shared" si="34"/>
        <v>232.47499999999999</v>
      </c>
    </row>
    <row r="171" spans="2:6">
      <c r="B171">
        <v>2</v>
      </c>
      <c r="C171" s="30" t="s">
        <v>296</v>
      </c>
      <c r="D171" s="119" t="s">
        <v>311</v>
      </c>
      <c r="E171" s="30">
        <v>5.0000000000000001E-3</v>
      </c>
      <c r="F171" s="1">
        <f t="shared" si="34"/>
        <v>232.47499999999999</v>
      </c>
    </row>
    <row r="172" spans="2:6">
      <c r="B172">
        <v>3</v>
      </c>
      <c r="C172" s="30" t="s">
        <v>296</v>
      </c>
      <c r="D172" s="119" t="s">
        <v>311</v>
      </c>
      <c r="E172" s="30">
        <v>5.0000000000000001E-3</v>
      </c>
      <c r="F172" s="1">
        <f t="shared" si="34"/>
        <v>232.47499999999999</v>
      </c>
    </row>
    <row r="173" spans="2:6">
      <c r="B173">
        <v>4</v>
      </c>
      <c r="C173" s="30" t="s">
        <v>296</v>
      </c>
      <c r="D173" s="119" t="s">
        <v>311</v>
      </c>
      <c r="E173" s="30">
        <v>2.5000000000000001E-3</v>
      </c>
      <c r="F173" s="1">
        <f t="shared" si="34"/>
        <v>116.2375</v>
      </c>
    </row>
    <row r="174" spans="2:6">
      <c r="B174">
        <v>5</v>
      </c>
      <c r="C174" s="30" t="s">
        <v>296</v>
      </c>
      <c r="D174" s="119" t="s">
        <v>311</v>
      </c>
      <c r="E174" s="30">
        <v>2.5000000000000001E-3</v>
      </c>
      <c r="F174" s="1">
        <f t="shared" si="34"/>
        <v>116.2375</v>
      </c>
    </row>
    <row r="175" spans="2:6">
      <c r="B175">
        <v>6</v>
      </c>
      <c r="C175" s="30" t="s">
        <v>296</v>
      </c>
      <c r="D175" s="1" t="s">
        <v>312</v>
      </c>
      <c r="E175" s="30">
        <v>2.5000000000000001E-3</v>
      </c>
      <c r="F175" s="1">
        <f t="shared" si="34"/>
        <v>116.2375</v>
      </c>
    </row>
    <row r="176" spans="2:6">
      <c r="B176">
        <v>7</v>
      </c>
      <c r="C176" s="30" t="s">
        <v>296</v>
      </c>
      <c r="D176" s="1" t="s">
        <v>312</v>
      </c>
      <c r="E176" s="30">
        <v>2.5000000000000001E-3</v>
      </c>
      <c r="F176" s="1">
        <f t="shared" si="34"/>
        <v>116.2375</v>
      </c>
    </row>
    <row r="177" spans="2:6">
      <c r="B177">
        <v>8</v>
      </c>
      <c r="C177" s="30" t="s">
        <v>296</v>
      </c>
      <c r="D177" s="1" t="s">
        <v>312</v>
      </c>
      <c r="E177" s="30">
        <v>1.5E-3</v>
      </c>
      <c r="F177" s="1">
        <f t="shared" si="34"/>
        <v>69.742500000000007</v>
      </c>
    </row>
    <row r="178" spans="2:6">
      <c r="B178">
        <v>9</v>
      </c>
      <c r="C178" s="30" t="s">
        <v>296</v>
      </c>
      <c r="D178" s="1" t="s">
        <v>312</v>
      </c>
      <c r="E178" s="30">
        <v>1.5E-3</v>
      </c>
      <c r="F178" s="1">
        <f t="shared" si="34"/>
        <v>69.742500000000007</v>
      </c>
    </row>
    <row r="179" spans="2:6">
      <c r="B179">
        <v>10</v>
      </c>
      <c r="C179" s="30" t="s">
        <v>296</v>
      </c>
      <c r="D179" s="1" t="s">
        <v>312</v>
      </c>
      <c r="E179" s="30">
        <v>1E-3</v>
      </c>
      <c r="F179" s="1">
        <f t="shared" si="34"/>
        <v>46.494999999999997</v>
      </c>
    </row>
    <row r="180" spans="2:6">
      <c r="B180">
        <v>11</v>
      </c>
      <c r="C180" s="30" t="s">
        <v>296</v>
      </c>
      <c r="D180" s="1" t="s">
        <v>312</v>
      </c>
      <c r="E180" s="30">
        <v>1E-3</v>
      </c>
      <c r="F180" s="1">
        <f t="shared" si="34"/>
        <v>46.494999999999997</v>
      </c>
    </row>
    <row r="181" spans="2:6">
      <c r="B181">
        <v>12</v>
      </c>
      <c r="C181" s="30" t="s">
        <v>296</v>
      </c>
      <c r="D181" s="1" t="s">
        <v>313</v>
      </c>
      <c r="E181" s="30">
        <v>5.0000000000000001E-3</v>
      </c>
      <c r="F181" s="1">
        <f t="shared" si="34"/>
        <v>232.47499999999999</v>
      </c>
    </row>
    <row r="182" spans="2:6">
      <c r="B182">
        <v>13</v>
      </c>
      <c r="C182" s="30" t="s">
        <v>296</v>
      </c>
      <c r="D182" s="1" t="s">
        <v>313</v>
      </c>
      <c r="E182" s="30">
        <v>5.0000000000000001E-3</v>
      </c>
      <c r="F182" s="1">
        <f t="shared" si="34"/>
        <v>232.47499999999999</v>
      </c>
    </row>
    <row r="183" spans="2:6">
      <c r="B183">
        <v>14</v>
      </c>
      <c r="C183" s="30" t="s">
        <v>296</v>
      </c>
      <c r="D183" s="1" t="s">
        <v>313</v>
      </c>
      <c r="E183" s="30">
        <v>5.0000000000000001E-3</v>
      </c>
      <c r="F183" s="1">
        <f t="shared" si="34"/>
        <v>232.47499999999999</v>
      </c>
    </row>
    <row r="184" spans="2:6">
      <c r="B184">
        <v>15</v>
      </c>
      <c r="C184" s="30" t="s">
        <v>296</v>
      </c>
      <c r="D184" s="1" t="s">
        <v>313</v>
      </c>
      <c r="E184" s="30">
        <v>5.0000000000000001E-3</v>
      </c>
      <c r="F184" s="1">
        <f t="shared" ref="F184:F214" si="35">E184*$F$150</f>
        <v>232.47499999999999</v>
      </c>
    </row>
    <row r="185" spans="2:6">
      <c r="B185">
        <v>16</v>
      </c>
      <c r="C185" s="30" t="s">
        <v>296</v>
      </c>
      <c r="D185" s="119" t="s">
        <v>311</v>
      </c>
      <c r="E185" s="30">
        <v>5.0000000000000001E-3</v>
      </c>
      <c r="F185" s="1">
        <f t="shared" si="35"/>
        <v>232.47499999999999</v>
      </c>
    </row>
    <row r="186" spans="2:6">
      <c r="B186">
        <v>17</v>
      </c>
      <c r="C186" s="30" t="s">
        <v>296</v>
      </c>
      <c r="D186" s="119" t="s">
        <v>311</v>
      </c>
      <c r="E186" s="30">
        <v>5.0000000000000001E-3</v>
      </c>
      <c r="F186" s="1">
        <f t="shared" si="35"/>
        <v>232.47499999999999</v>
      </c>
    </row>
    <row r="187" spans="2:6">
      <c r="B187">
        <v>18</v>
      </c>
      <c r="C187" s="30" t="s">
        <v>296</v>
      </c>
      <c r="D187" s="1" t="s">
        <v>314</v>
      </c>
      <c r="E187" s="30">
        <v>5.0000000000000001E-3</v>
      </c>
      <c r="F187" s="1">
        <f t="shared" si="35"/>
        <v>232.47499999999999</v>
      </c>
    </row>
    <row r="188" spans="2:6">
      <c r="B188">
        <v>19</v>
      </c>
      <c r="C188" s="30" t="s">
        <v>296</v>
      </c>
      <c r="D188" s="1" t="s">
        <v>315</v>
      </c>
      <c r="E188" s="30">
        <v>2.5000000000000001E-3</v>
      </c>
      <c r="F188" s="1">
        <f t="shared" si="35"/>
        <v>116.2375</v>
      </c>
    </row>
    <row r="189" spans="2:6">
      <c r="B189">
        <v>20</v>
      </c>
      <c r="C189" s="30" t="s">
        <v>296</v>
      </c>
      <c r="D189" s="1" t="s">
        <v>311</v>
      </c>
      <c r="E189" s="30">
        <v>2.5000000000000001E-3</v>
      </c>
      <c r="F189" s="1">
        <f t="shared" si="35"/>
        <v>116.2375</v>
      </c>
    </row>
    <row r="190" spans="2:6">
      <c r="B190">
        <v>21</v>
      </c>
      <c r="C190" s="30" t="s">
        <v>296</v>
      </c>
      <c r="D190" s="1" t="s">
        <v>316</v>
      </c>
      <c r="E190" s="30">
        <v>2.5000000000000001E-3</v>
      </c>
      <c r="F190" s="1">
        <f t="shared" si="35"/>
        <v>116.2375</v>
      </c>
    </row>
    <row r="191" spans="2:6">
      <c r="B191">
        <v>22</v>
      </c>
      <c r="C191" s="30" t="s">
        <v>296</v>
      </c>
      <c r="D191" s="1" t="s">
        <v>317</v>
      </c>
      <c r="E191" s="30">
        <v>2.5000000000000001E-3</v>
      </c>
      <c r="F191" s="1">
        <f t="shared" si="35"/>
        <v>116.2375</v>
      </c>
    </row>
    <row r="192" spans="2:6">
      <c r="B192">
        <v>23</v>
      </c>
      <c r="C192" s="30" t="s">
        <v>296</v>
      </c>
      <c r="D192" s="1" t="s">
        <v>315</v>
      </c>
      <c r="E192" s="30">
        <v>1.5E-3</v>
      </c>
      <c r="F192" s="1">
        <f t="shared" si="35"/>
        <v>69.742500000000007</v>
      </c>
    </row>
    <row r="193" spans="2:6">
      <c r="B193">
        <v>24</v>
      </c>
      <c r="C193" s="30" t="s">
        <v>296</v>
      </c>
      <c r="D193" s="1" t="s">
        <v>317</v>
      </c>
      <c r="E193" s="30">
        <v>1.5E-3</v>
      </c>
      <c r="F193" s="1">
        <f t="shared" si="35"/>
        <v>69.742500000000007</v>
      </c>
    </row>
    <row r="194" spans="2:6">
      <c r="B194">
        <v>25</v>
      </c>
      <c r="C194" s="30" t="s">
        <v>296</v>
      </c>
      <c r="D194" s="1" t="s">
        <v>311</v>
      </c>
      <c r="E194" s="30">
        <v>1E-3</v>
      </c>
      <c r="F194" s="1">
        <f t="shared" si="35"/>
        <v>46.494999999999997</v>
      </c>
    </row>
    <row r="195" spans="2:6">
      <c r="B195">
        <v>26</v>
      </c>
      <c r="C195" s="30" t="s">
        <v>296</v>
      </c>
      <c r="D195" s="1" t="s">
        <v>311</v>
      </c>
      <c r="E195" s="30">
        <v>1E-3</v>
      </c>
      <c r="F195" s="1">
        <f t="shared" si="35"/>
        <v>46.494999999999997</v>
      </c>
    </row>
    <row r="196" spans="2:6">
      <c r="B196">
        <v>27</v>
      </c>
      <c r="C196" s="30" t="s">
        <v>296</v>
      </c>
      <c r="D196" s="1" t="s">
        <v>9</v>
      </c>
      <c r="E196" s="30">
        <v>5.0000000000000001E-3</v>
      </c>
      <c r="F196" s="1">
        <f t="shared" si="35"/>
        <v>232.47499999999999</v>
      </c>
    </row>
    <row r="197" spans="2:6">
      <c r="B197">
        <v>28</v>
      </c>
      <c r="C197" s="30" t="s">
        <v>296</v>
      </c>
      <c r="D197" s="1" t="s">
        <v>9</v>
      </c>
      <c r="E197" s="30">
        <v>5.0000000000000001E-3</v>
      </c>
      <c r="F197" s="1">
        <f t="shared" si="35"/>
        <v>232.47499999999999</v>
      </c>
    </row>
    <row r="198" spans="2:6">
      <c r="B198">
        <v>29</v>
      </c>
      <c r="C198" s="30" t="s">
        <v>296</v>
      </c>
      <c r="D198" s="1" t="s">
        <v>9</v>
      </c>
      <c r="E198" s="30">
        <v>5.0000000000000001E-3</v>
      </c>
      <c r="F198" s="1">
        <f t="shared" si="35"/>
        <v>232.47499999999999</v>
      </c>
    </row>
    <row r="199" spans="2:6">
      <c r="B199">
        <v>30</v>
      </c>
      <c r="C199" s="30" t="s">
        <v>296</v>
      </c>
      <c r="D199" s="1" t="s">
        <v>9</v>
      </c>
      <c r="E199" s="30">
        <v>5.0000000000000001E-3</v>
      </c>
      <c r="F199" s="1">
        <f t="shared" si="35"/>
        <v>232.47499999999999</v>
      </c>
    </row>
    <row r="200" spans="2:6">
      <c r="B200">
        <v>31</v>
      </c>
      <c r="C200" s="30" t="s">
        <v>296</v>
      </c>
      <c r="D200" s="1" t="s">
        <v>318</v>
      </c>
      <c r="E200" s="30">
        <v>5.0000000000000001E-3</v>
      </c>
      <c r="F200" s="1">
        <f t="shared" si="35"/>
        <v>232.47499999999999</v>
      </c>
    </row>
    <row r="201" spans="2:6">
      <c r="B201">
        <v>32</v>
      </c>
      <c r="C201" s="30" t="s">
        <v>296</v>
      </c>
      <c r="D201" s="1" t="s">
        <v>319</v>
      </c>
      <c r="E201" s="30">
        <v>5.0000000000000001E-3</v>
      </c>
      <c r="F201" s="1">
        <f t="shared" si="35"/>
        <v>232.47499999999999</v>
      </c>
    </row>
    <row r="202" spans="2:6">
      <c r="B202">
        <v>33</v>
      </c>
      <c r="C202" s="30" t="s">
        <v>296</v>
      </c>
      <c r="D202" s="1" t="s">
        <v>318</v>
      </c>
      <c r="E202" s="30">
        <v>5.0000000000000001E-3</v>
      </c>
      <c r="F202" s="1">
        <f t="shared" si="35"/>
        <v>232.47499999999999</v>
      </c>
    </row>
    <row r="203" spans="2:6">
      <c r="B203">
        <v>34</v>
      </c>
      <c r="C203" s="30" t="s">
        <v>296</v>
      </c>
      <c r="D203" s="1" t="s">
        <v>319</v>
      </c>
      <c r="E203" s="30">
        <v>2.5000000000000001E-3</v>
      </c>
      <c r="F203" s="1">
        <f t="shared" si="35"/>
        <v>116.2375</v>
      </c>
    </row>
    <row r="204" spans="2:6">
      <c r="B204">
        <v>35</v>
      </c>
      <c r="C204" s="30" t="s">
        <v>296</v>
      </c>
      <c r="D204" s="1" t="s">
        <v>320</v>
      </c>
      <c r="E204" s="30">
        <v>2.5000000000000001E-3</v>
      </c>
      <c r="F204" s="1">
        <f t="shared" si="35"/>
        <v>116.2375</v>
      </c>
    </row>
    <row r="205" spans="2:6">
      <c r="B205">
        <v>36</v>
      </c>
      <c r="C205" s="30" t="s">
        <v>296</v>
      </c>
      <c r="D205" s="1" t="s">
        <v>320</v>
      </c>
      <c r="E205" s="30">
        <v>2.5000000000000001E-3</v>
      </c>
      <c r="F205" s="1">
        <f t="shared" si="35"/>
        <v>116.2375</v>
      </c>
    </row>
    <row r="206" spans="2:6">
      <c r="B206">
        <v>37</v>
      </c>
      <c r="C206" s="30" t="s">
        <v>296</v>
      </c>
      <c r="D206" s="1" t="s">
        <v>320</v>
      </c>
      <c r="E206" s="30">
        <v>2.5000000000000001E-3</v>
      </c>
      <c r="F206" s="1">
        <f t="shared" si="35"/>
        <v>116.2375</v>
      </c>
    </row>
    <row r="207" spans="2:6">
      <c r="B207">
        <v>38</v>
      </c>
      <c r="C207" s="30" t="s">
        <v>296</v>
      </c>
      <c r="D207" s="1" t="s">
        <v>320</v>
      </c>
      <c r="E207" s="30">
        <v>1.5E-3</v>
      </c>
      <c r="F207" s="1">
        <f t="shared" si="35"/>
        <v>69.742500000000007</v>
      </c>
    </row>
    <row r="208" spans="2:6">
      <c r="B208">
        <v>39</v>
      </c>
      <c r="C208" s="30" t="s">
        <v>296</v>
      </c>
      <c r="D208" s="1" t="s">
        <v>318</v>
      </c>
      <c r="E208" s="30">
        <v>1.5E-3</v>
      </c>
      <c r="F208" s="1">
        <f t="shared" si="35"/>
        <v>69.742500000000007</v>
      </c>
    </row>
    <row r="209" spans="2:6">
      <c r="B209">
        <v>40</v>
      </c>
      <c r="C209" s="30" t="s">
        <v>296</v>
      </c>
      <c r="D209" s="1" t="s">
        <v>318</v>
      </c>
      <c r="E209" s="30">
        <v>1E-3</v>
      </c>
      <c r="F209" s="1">
        <f t="shared" si="35"/>
        <v>46.494999999999997</v>
      </c>
    </row>
    <row r="210" spans="2:6">
      <c r="B210">
        <v>41</v>
      </c>
      <c r="C210" s="30" t="s">
        <v>296</v>
      </c>
      <c r="D210" s="1" t="s">
        <v>318</v>
      </c>
      <c r="E210" s="30">
        <v>1E-3</v>
      </c>
      <c r="F210" s="1">
        <f t="shared" si="35"/>
        <v>46.494999999999997</v>
      </c>
    </row>
    <row r="211" spans="2:6">
      <c r="B211">
        <v>42</v>
      </c>
      <c r="C211" s="30" t="s">
        <v>296</v>
      </c>
      <c r="D211" s="1" t="s">
        <v>318</v>
      </c>
      <c r="E211" s="30">
        <v>5.0000000000000001E-3</v>
      </c>
      <c r="F211" s="1">
        <f t="shared" si="35"/>
        <v>232.47499999999999</v>
      </c>
    </row>
    <row r="212" spans="2:6">
      <c r="B212">
        <v>43</v>
      </c>
      <c r="C212" s="30" t="s">
        <v>296</v>
      </c>
      <c r="D212" s="1" t="s">
        <v>319</v>
      </c>
      <c r="E212" s="30">
        <v>5.0000000000000001E-3</v>
      </c>
      <c r="F212" s="1">
        <f t="shared" si="35"/>
        <v>232.47499999999999</v>
      </c>
    </row>
    <row r="213" spans="2:6">
      <c r="B213">
        <v>44</v>
      </c>
      <c r="C213" s="30" t="s">
        <v>296</v>
      </c>
      <c r="D213" s="1" t="s">
        <v>319</v>
      </c>
      <c r="E213" s="30">
        <v>5.0000000000000001E-3</v>
      </c>
      <c r="F213" s="1">
        <f t="shared" si="35"/>
        <v>232.47499999999999</v>
      </c>
    </row>
    <row r="214" spans="2:6">
      <c r="B214">
        <v>45</v>
      </c>
      <c r="C214" s="30" t="s">
        <v>296</v>
      </c>
      <c r="D214" s="1" t="s">
        <v>320</v>
      </c>
      <c r="E214" s="30">
        <v>5.0000000000000001E-3</v>
      </c>
      <c r="F214" s="1">
        <f t="shared" si="35"/>
        <v>232.47499999999999</v>
      </c>
    </row>
    <row r="215" spans="2:6">
      <c r="D215" s="1" t="s">
        <v>142</v>
      </c>
      <c r="E215" s="1">
        <f>SUM(E152:E214)</f>
        <v>1.0000000999999989</v>
      </c>
      <c r="F215" s="1">
        <f>SUM(F152:F214)</f>
        <v>46495.004649500021</v>
      </c>
    </row>
  </sheetData>
  <autoFilter ref="C151:F215"/>
  <sortState ref="B150:F212">
    <sortCondition ref="C150:C212"/>
  </sortState>
  <mergeCells count="5">
    <mergeCell ref="C7:C33"/>
    <mergeCell ref="C2:L2"/>
    <mergeCell ref="C3:L3"/>
    <mergeCell ref="C40:C65"/>
    <mergeCell ref="O5:T5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43"/>
  <sheetViews>
    <sheetView zoomScale="90" zoomScaleNormal="90" workbookViewId="0">
      <selection activeCell="R21" sqref="R21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200" t="s">
        <v>333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2:18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5" spans="2:18" ht="47.25" customHeight="1">
      <c r="B5" s="15" t="s">
        <v>45</v>
      </c>
      <c r="C5" s="15" t="s">
        <v>34</v>
      </c>
      <c r="D5" s="15" t="s">
        <v>0</v>
      </c>
      <c r="E5" s="15" t="s">
        <v>132</v>
      </c>
      <c r="F5" s="15" t="s">
        <v>282</v>
      </c>
      <c r="G5" s="15" t="s">
        <v>149</v>
      </c>
      <c r="H5" s="15" t="s">
        <v>150</v>
      </c>
      <c r="I5" s="15" t="s">
        <v>269</v>
      </c>
      <c r="J5" s="15" t="s">
        <v>270</v>
      </c>
      <c r="K5" s="15" t="s">
        <v>157</v>
      </c>
      <c r="L5" s="15" t="s">
        <v>152</v>
      </c>
      <c r="M5" s="15" t="s">
        <v>271</v>
      </c>
      <c r="N5" s="15" t="s">
        <v>272</v>
      </c>
      <c r="O5" s="15" t="s">
        <v>154</v>
      </c>
      <c r="P5" s="15" t="s">
        <v>155</v>
      </c>
      <c r="Q5" s="15" t="s">
        <v>156</v>
      </c>
      <c r="R5" s="31" t="s">
        <v>203</v>
      </c>
    </row>
    <row r="6" spans="2:18">
      <c r="B6" s="198" t="s">
        <v>158</v>
      </c>
      <c r="C6" s="11" t="s">
        <v>123</v>
      </c>
      <c r="D6" s="1" t="s">
        <v>18</v>
      </c>
      <c r="E6" s="1">
        <f>Anchoveta!H7+'Sardina comun'!H7</f>
        <v>2838.83</v>
      </c>
      <c r="F6" s="2">
        <f t="shared" ref="F6:F11" si="0">E6*0.4</f>
        <v>1135.5319999999999</v>
      </c>
      <c r="G6" s="23">
        <f>Anchoveta!I7</f>
        <v>0</v>
      </c>
      <c r="H6" s="23">
        <f>'Sardina comun'!I7</f>
        <v>0</v>
      </c>
      <c r="I6" s="1">
        <f t="shared" ref="I6:I11" si="1">G6+H6</f>
        <v>0</v>
      </c>
      <c r="J6" s="1">
        <f>Anchoveta!J7+'Sardina comun'!J7</f>
        <v>0</v>
      </c>
      <c r="K6" s="1">
        <f>Anchoveta!K7</f>
        <v>2838.83</v>
      </c>
      <c r="L6" s="1">
        <f>'Sardina comun'!K7</f>
        <v>0</v>
      </c>
      <c r="M6" s="1">
        <f t="shared" ref="M6:M11" si="2">K6+L6</f>
        <v>2838.83</v>
      </c>
      <c r="N6" s="30" t="str">
        <f t="shared" ref="N6:N11" si="3">IF(K6&lt;0,K6,IF(K6&lt;0,L6,IF(L6&lt;0,L6,IF(L6&gt;0,"0","0"))))</f>
        <v>0</v>
      </c>
      <c r="O6" s="27"/>
      <c r="P6" s="4">
        <f>(I6+J6)/E6</f>
        <v>0</v>
      </c>
      <c r="Q6" s="4">
        <f t="shared" ref="Q6:Q11" si="4">N6/E6</f>
        <v>0</v>
      </c>
      <c r="R6" s="1"/>
    </row>
    <row r="7" spans="2:18">
      <c r="B7" s="198"/>
      <c r="C7" s="11" t="s">
        <v>262</v>
      </c>
      <c r="D7" s="1" t="s">
        <v>18</v>
      </c>
      <c r="E7" s="1">
        <f>Anchoveta!H8+'Sardina comun'!H8</f>
        <v>49.576999999999998</v>
      </c>
      <c r="F7" s="1">
        <f t="shared" si="0"/>
        <v>19.8308</v>
      </c>
      <c r="G7" s="23">
        <f>Anchoveta!I8</f>
        <v>0</v>
      </c>
      <c r="H7" s="23">
        <f>'Sardina comun'!I8</f>
        <v>0</v>
      </c>
      <c r="I7" s="1">
        <f t="shared" si="1"/>
        <v>0</v>
      </c>
      <c r="J7" s="1">
        <f>Anchoveta!J8+'Sardina comun'!J8</f>
        <v>0</v>
      </c>
      <c r="K7" s="1">
        <f>Anchoveta!K8</f>
        <v>49.576999999999998</v>
      </c>
      <c r="L7" s="1">
        <f>'Sardina comun'!K8</f>
        <v>0</v>
      </c>
      <c r="M7" s="1">
        <f t="shared" si="2"/>
        <v>49.576999999999998</v>
      </c>
      <c r="N7" s="30" t="str">
        <f t="shared" si="3"/>
        <v>0</v>
      </c>
      <c r="O7" s="27" t="s">
        <v>263</v>
      </c>
      <c r="P7" s="4">
        <f>(I7+J7)/E7</f>
        <v>0</v>
      </c>
      <c r="Q7" s="4">
        <f t="shared" si="4"/>
        <v>0</v>
      </c>
      <c r="R7" s="1"/>
    </row>
    <row r="8" spans="2:18">
      <c r="B8" s="198"/>
      <c r="C8" s="12" t="s">
        <v>249</v>
      </c>
      <c r="D8" s="1" t="s">
        <v>18</v>
      </c>
      <c r="E8" s="1">
        <f>Anchoveta!H9+'Sardina comun'!H9</f>
        <v>39.024999999999999</v>
      </c>
      <c r="F8" s="2">
        <f t="shared" si="0"/>
        <v>15.61</v>
      </c>
      <c r="G8" s="23">
        <f>Anchoveta!I9</f>
        <v>0</v>
      </c>
      <c r="H8" s="23">
        <f>'Sardina comun'!I9</f>
        <v>0</v>
      </c>
      <c r="I8" s="1">
        <f t="shared" si="1"/>
        <v>0</v>
      </c>
      <c r="J8" s="1">
        <f>Anchoveta!J9+'Sardina comun'!J9</f>
        <v>0</v>
      </c>
      <c r="K8" s="1">
        <f>Anchoveta!K9</f>
        <v>9.9139999999999997</v>
      </c>
      <c r="L8" s="1">
        <f>'Sardina comun'!K9</f>
        <v>29.111000000000001</v>
      </c>
      <c r="M8" s="1">
        <f t="shared" si="2"/>
        <v>39.024999999999999</v>
      </c>
      <c r="N8" s="30" t="str">
        <f t="shared" si="3"/>
        <v>0</v>
      </c>
      <c r="O8" s="1"/>
      <c r="P8" s="4">
        <f t="shared" ref="P8:P43" si="5">(I8+J8)/E8</f>
        <v>0</v>
      </c>
      <c r="Q8" s="4">
        <f t="shared" si="4"/>
        <v>0</v>
      </c>
      <c r="R8" s="1"/>
    </row>
    <row r="9" spans="2:18">
      <c r="B9" s="198"/>
      <c r="C9" s="12" t="s">
        <v>250</v>
      </c>
      <c r="D9" s="1" t="s">
        <v>18</v>
      </c>
      <c r="E9" s="1">
        <f>Anchoveta!H10+'Sardina comun'!H10</f>
        <v>1.6019999999999999</v>
      </c>
      <c r="F9" s="2">
        <f t="shared" si="0"/>
        <v>0.64080000000000004</v>
      </c>
      <c r="G9" s="23">
        <f>Anchoveta!I10</f>
        <v>0</v>
      </c>
      <c r="H9" s="23">
        <f>'Sardina comun'!I10</f>
        <v>0</v>
      </c>
      <c r="I9" s="1">
        <f t="shared" si="1"/>
        <v>0</v>
      </c>
      <c r="J9" s="1">
        <f>Anchoveta!J10+'Sardina comun'!J10</f>
        <v>0</v>
      </c>
      <c r="K9" s="1">
        <f>Anchoveta!K10</f>
        <v>3.3000000000000002E-2</v>
      </c>
      <c r="L9" s="1">
        <f>'Sardina comun'!K10</f>
        <v>1.569</v>
      </c>
      <c r="M9" s="1">
        <f t="shared" si="2"/>
        <v>1.6019999999999999</v>
      </c>
      <c r="N9" s="30" t="str">
        <f t="shared" si="3"/>
        <v>0</v>
      </c>
      <c r="O9" s="1"/>
      <c r="P9" s="4">
        <f>(I9+J9)/E9</f>
        <v>0</v>
      </c>
      <c r="Q9" s="4">
        <f t="shared" si="4"/>
        <v>0</v>
      </c>
      <c r="R9" s="1"/>
    </row>
    <row r="10" spans="2:18">
      <c r="B10" s="198"/>
      <c r="C10" s="12" t="s">
        <v>124</v>
      </c>
      <c r="D10" s="1" t="s">
        <v>18</v>
      </c>
      <c r="E10" s="1">
        <f>Anchoveta!H11+'Sardina comun'!H11</f>
        <v>2.714</v>
      </c>
      <c r="F10" s="1">
        <f t="shared" si="0"/>
        <v>1.0856000000000001</v>
      </c>
      <c r="G10" s="23">
        <f>Anchoveta!I11</f>
        <v>0</v>
      </c>
      <c r="H10" s="23">
        <f>'Sardina comun'!I11</f>
        <v>0</v>
      </c>
      <c r="I10" s="1">
        <f t="shared" si="1"/>
        <v>0</v>
      </c>
      <c r="J10" s="1">
        <f>Anchoveta!J11+'Sardina comun'!J11</f>
        <v>0</v>
      </c>
      <c r="K10" s="1">
        <f>Anchoveta!K11</f>
        <v>0.19800000000000001</v>
      </c>
      <c r="L10" s="1">
        <f>'Sardina comun'!K11</f>
        <v>2.516</v>
      </c>
      <c r="M10" s="1">
        <f t="shared" si="2"/>
        <v>2.714</v>
      </c>
      <c r="N10" s="30" t="str">
        <f t="shared" si="3"/>
        <v>0</v>
      </c>
      <c r="O10" s="1"/>
      <c r="P10" s="4">
        <f>(I10+J10)/E10</f>
        <v>0</v>
      </c>
      <c r="Q10" s="4">
        <f t="shared" si="4"/>
        <v>0</v>
      </c>
      <c r="R10" s="1"/>
    </row>
    <row r="11" spans="2:18">
      <c r="B11" s="198"/>
      <c r="C11" s="11" t="s">
        <v>125</v>
      </c>
      <c r="D11" s="1" t="s">
        <v>18</v>
      </c>
      <c r="E11" s="1">
        <f>Anchoveta!H12+'Sardina comun'!H12</f>
        <v>206.08799999999999</v>
      </c>
      <c r="F11" s="2">
        <f t="shared" si="0"/>
        <v>82.435200000000009</v>
      </c>
      <c r="G11" s="23">
        <f>Anchoveta!I12</f>
        <v>0</v>
      </c>
      <c r="H11" s="23">
        <f>'Sardina comun'!I12</f>
        <v>17.600000000000001</v>
      </c>
      <c r="I11" s="1">
        <f t="shared" si="1"/>
        <v>17.600000000000001</v>
      </c>
      <c r="J11" s="1">
        <f>Anchoveta!J12+'Sardina comun'!J12</f>
        <v>0</v>
      </c>
      <c r="K11" s="1">
        <f>Anchoveta!K12</f>
        <v>55.941000000000003</v>
      </c>
      <c r="L11" s="1">
        <f>'Sardina comun'!K12</f>
        <v>132.547</v>
      </c>
      <c r="M11" s="1">
        <f t="shared" si="2"/>
        <v>188.488</v>
      </c>
      <c r="N11" s="30" t="str">
        <f t="shared" si="3"/>
        <v>0</v>
      </c>
      <c r="O11" s="56"/>
      <c r="P11" s="4">
        <f t="shared" si="5"/>
        <v>8.5400411474709836E-2</v>
      </c>
      <c r="Q11" s="38">
        <f t="shared" si="4"/>
        <v>0</v>
      </c>
      <c r="R11" s="23"/>
    </row>
    <row r="12" spans="2:18">
      <c r="G12" s="24"/>
      <c r="H12" s="24"/>
    </row>
    <row r="13" spans="2:18">
      <c r="B13" s="20" t="s">
        <v>159</v>
      </c>
      <c r="C13" s="11" t="s">
        <v>45</v>
      </c>
      <c r="D13" s="1" t="s">
        <v>18</v>
      </c>
      <c r="E13" s="1">
        <f>Anchoveta!H15+'Sardina comun'!H15</f>
        <v>161</v>
      </c>
      <c r="F13" s="1">
        <f>E13*0.4</f>
        <v>64.400000000000006</v>
      </c>
      <c r="G13" s="23">
        <f>Anchoveta!I15</f>
        <v>0</v>
      </c>
      <c r="H13" s="23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85</v>
      </c>
      <c r="L13" s="1">
        <f>'Sardina comun'!K15</f>
        <v>76</v>
      </c>
      <c r="M13" s="1">
        <f>K13+L13</f>
        <v>161</v>
      </c>
      <c r="N13" s="23" t="str">
        <f>IF(K13&lt;0,K13,IF(K13&lt;0,L13,IF(L13&lt;0,L13,IF(L13&gt;0,"0","0"))))</f>
        <v>0</v>
      </c>
      <c r="O13" s="1"/>
      <c r="P13" s="54">
        <f t="shared" si="5"/>
        <v>0</v>
      </c>
      <c r="Q13" s="54">
        <f>N13/E13</f>
        <v>0</v>
      </c>
      <c r="R13" s="1"/>
    </row>
    <row r="14" spans="2:18">
      <c r="G14" s="24"/>
      <c r="H14" s="24"/>
    </row>
    <row r="15" spans="2:18">
      <c r="B15" s="199" t="s">
        <v>160</v>
      </c>
      <c r="C15" s="11" t="s">
        <v>120</v>
      </c>
      <c r="D15" s="1" t="s">
        <v>18</v>
      </c>
      <c r="E15" s="1">
        <f>Anchoveta!H18+'Sardina comun'!H18</f>
        <v>1500.7660000000001</v>
      </c>
      <c r="F15" s="2">
        <f>E15*0.4</f>
        <v>600.30640000000005</v>
      </c>
      <c r="G15" s="23">
        <f>Anchoveta!I18</f>
        <v>0</v>
      </c>
      <c r="H15" s="23">
        <f>'Sardina comun'!I18</f>
        <v>0</v>
      </c>
      <c r="I15" s="1">
        <f>G15+H15</f>
        <v>0</v>
      </c>
      <c r="J15" s="1">
        <f>Anchoveta!J18+'Sardina comun'!J18</f>
        <v>0</v>
      </c>
      <c r="K15" s="1">
        <f>Anchoveta!K18</f>
        <v>821.73699999999997</v>
      </c>
      <c r="L15" s="1">
        <f>'Sardina comun'!K18</f>
        <v>679.029</v>
      </c>
      <c r="M15" s="1">
        <f>K15+L15</f>
        <v>1500.7660000000001</v>
      </c>
      <c r="N15" s="23" t="str">
        <f>IF(K15&lt;0,K15,IF(K15&lt;0,L15,IF(L15&lt;0,L15,IF(L15&gt;0,"0","0"))))</f>
        <v>0</v>
      </c>
      <c r="O15" s="1"/>
      <c r="P15" s="54">
        <f t="shared" si="5"/>
        <v>0</v>
      </c>
      <c r="Q15" s="54">
        <f>N15/E15</f>
        <v>0</v>
      </c>
      <c r="R15" s="1"/>
    </row>
    <row r="16" spans="2:18">
      <c r="B16" s="199"/>
      <c r="C16" s="11" t="s">
        <v>121</v>
      </c>
      <c r="D16" s="1" t="s">
        <v>18</v>
      </c>
      <c r="E16" s="1">
        <f>Anchoveta!H19+'Sardina comun'!H19</f>
        <v>98.305000000000007</v>
      </c>
      <c r="F16" s="1">
        <f>E16*0.4</f>
        <v>39.322000000000003</v>
      </c>
      <c r="G16" s="23">
        <f>Anchoveta!I19</f>
        <v>0</v>
      </c>
      <c r="H16" s="23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98.305000000000007</v>
      </c>
      <c r="L16" s="1">
        <f>'Sardina comun'!K19</f>
        <v>0</v>
      </c>
      <c r="M16" s="1">
        <f>K16+L16</f>
        <v>98.305000000000007</v>
      </c>
      <c r="N16" s="23" t="str">
        <f t="shared" ref="N16:N31" si="6">IF(K16&lt;0,K16,IF(K16&lt;0,L16,IF(L16&lt;0,L16,IF(L16&gt;0,"0","0"))))</f>
        <v>0</v>
      </c>
      <c r="O16" s="1"/>
      <c r="P16" s="54">
        <f t="shared" si="5"/>
        <v>0</v>
      </c>
      <c r="Q16" s="54">
        <f t="shared" ref="Q16:Q43" si="7">N16/E16</f>
        <v>0</v>
      </c>
      <c r="R16" s="1"/>
    </row>
    <row r="17" spans="2:18">
      <c r="B17" s="199"/>
      <c r="C17" s="11" t="s">
        <v>122</v>
      </c>
      <c r="D17" s="1" t="s">
        <v>18</v>
      </c>
      <c r="E17" s="1">
        <f>Anchoveta!H20+'Sardina comun'!H20</f>
        <v>251.52100000000002</v>
      </c>
      <c r="F17" s="1">
        <f>E17*0.4</f>
        <v>100.60840000000002</v>
      </c>
      <c r="G17" s="23">
        <f>Anchoveta!I20</f>
        <v>0</v>
      </c>
      <c r="H17" s="23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137.71899999999999</v>
      </c>
      <c r="L17" s="1">
        <f>'Sardina comun'!K20</f>
        <v>113.80200000000001</v>
      </c>
      <c r="M17" s="1">
        <f>K17+L17</f>
        <v>251.52100000000002</v>
      </c>
      <c r="N17" s="23" t="str">
        <f t="shared" si="6"/>
        <v>0</v>
      </c>
      <c r="O17" s="1"/>
      <c r="P17" s="54">
        <f t="shared" si="5"/>
        <v>0</v>
      </c>
      <c r="Q17" s="54">
        <f t="shared" si="7"/>
        <v>0</v>
      </c>
      <c r="R17" s="1"/>
    </row>
    <row r="18" spans="2:18">
      <c r="G18" s="24"/>
      <c r="H18" s="24"/>
    </row>
    <row r="19" spans="2:18">
      <c r="B19" s="15" t="s">
        <v>161</v>
      </c>
      <c r="C19" s="11" t="s">
        <v>45</v>
      </c>
      <c r="D19" s="1" t="s">
        <v>18</v>
      </c>
      <c r="E19" s="1">
        <f>Anchoveta!H109+'Sardina comun'!H109</f>
        <v>6384.6239999999998</v>
      </c>
      <c r="F19" s="1">
        <f>E19*0.4</f>
        <v>2553.8496</v>
      </c>
      <c r="G19" s="23">
        <f>Anchoveta!I109</f>
        <v>1453.922</v>
      </c>
      <c r="H19" s="23">
        <f>'Sardina comun'!I109</f>
        <v>5207.28</v>
      </c>
      <c r="I19" s="1">
        <f>G19+H19</f>
        <v>6661.2019999999993</v>
      </c>
      <c r="J19" s="1">
        <f>Anchoveta!J109+'Sardina comun'!J109</f>
        <v>0</v>
      </c>
      <c r="K19" s="1">
        <f>Anchoveta!K109</f>
        <v>1171.078</v>
      </c>
      <c r="L19" s="1">
        <f>'Sardina comun'!K109</f>
        <v>-1447.6559999999999</v>
      </c>
      <c r="M19" s="1">
        <f>K19+L19</f>
        <v>-276.57799999999997</v>
      </c>
      <c r="N19" s="23">
        <f t="shared" si="6"/>
        <v>-1447.6559999999999</v>
      </c>
      <c r="O19" s="27">
        <f>Anchoveta!M109</f>
        <v>45429</v>
      </c>
      <c r="P19" s="54">
        <f t="shared" si="5"/>
        <v>1.0433193873280555</v>
      </c>
      <c r="Q19" s="54">
        <f t="shared" si="7"/>
        <v>-0.22674099524106667</v>
      </c>
      <c r="R19" s="27"/>
    </row>
    <row r="20" spans="2:18">
      <c r="G20" s="24"/>
      <c r="H20" s="24"/>
    </row>
    <row r="21" spans="2:18">
      <c r="B21" s="198" t="s">
        <v>162</v>
      </c>
      <c r="C21" s="11" t="s">
        <v>110</v>
      </c>
      <c r="D21" s="1" t="s">
        <v>18</v>
      </c>
      <c r="E21" s="1">
        <f>Anchoveta!H113+'Sardina comun'!H113</f>
        <v>829.30099999999993</v>
      </c>
      <c r="F21" s="2">
        <f t="shared" ref="F21:F31" si="8">E21*0.4</f>
        <v>331.72039999999998</v>
      </c>
      <c r="G21" s="23">
        <f>Anchoveta!I113</f>
        <v>160.828</v>
      </c>
      <c r="H21" s="23">
        <f>'Sardina comun'!I113</f>
        <v>343.85599999999999</v>
      </c>
      <c r="I21" s="1">
        <f>G21+H21</f>
        <v>504.68399999999997</v>
      </c>
      <c r="J21" s="1">
        <f>Anchoveta!J113+'Sardina comun'!J113</f>
        <v>0</v>
      </c>
      <c r="K21" s="1">
        <f>Anchoveta!K113</f>
        <v>186.26499999999996</v>
      </c>
      <c r="L21" s="1">
        <f>'Sardina comun'!K113</f>
        <v>138.35199999999998</v>
      </c>
      <c r="M21" s="1">
        <f>K21+L21</f>
        <v>324.61699999999996</v>
      </c>
      <c r="N21" s="23" t="str">
        <f t="shared" si="6"/>
        <v>0</v>
      </c>
      <c r="O21" s="27" t="s">
        <v>263</v>
      </c>
      <c r="P21" s="54">
        <f t="shared" si="5"/>
        <v>0.60856552687142551</v>
      </c>
      <c r="Q21" s="54">
        <f t="shared" si="7"/>
        <v>0</v>
      </c>
      <c r="R21" s="1"/>
    </row>
    <row r="22" spans="2:18">
      <c r="B22" s="198"/>
      <c r="C22" s="11" t="s">
        <v>111</v>
      </c>
      <c r="D22" s="1" t="s">
        <v>18</v>
      </c>
      <c r="E22" s="1">
        <f>Anchoveta!H114+'Sardina comun'!H114</f>
        <v>2130.6409999999996</v>
      </c>
      <c r="F22" s="2">
        <f t="shared" ref="F22" si="9">E22*0.4</f>
        <v>852.25639999999987</v>
      </c>
      <c r="G22" s="23">
        <f>Anchoveta!I114</f>
        <v>685.47300000000007</v>
      </c>
      <c r="H22" s="23">
        <f>'Sardina comun'!I114</f>
        <v>1031.527</v>
      </c>
      <c r="I22" s="1">
        <f>G22+H22</f>
        <v>1717</v>
      </c>
      <c r="J22" s="1">
        <f>Anchoveta!J114+'Sardina comun'!J114</f>
        <v>0</v>
      </c>
      <c r="K22" s="1">
        <f>Anchoveta!K114</f>
        <v>204.22399999999982</v>
      </c>
      <c r="L22" s="1">
        <f>'Sardina comun'!K114</f>
        <v>209.41699999999969</v>
      </c>
      <c r="M22" s="1">
        <f>K22+L22</f>
        <v>413.64099999999951</v>
      </c>
      <c r="N22" s="23" t="str">
        <f t="shared" ref="N22" si="10">IF(K22&lt;0,K22,IF(K22&lt;0,L22,IF(L22&lt;0,L22,IF(L22&gt;0,"0","0"))))</f>
        <v>0</v>
      </c>
      <c r="O22" s="27" t="s">
        <v>263</v>
      </c>
      <c r="P22" s="54">
        <f t="shared" ref="P22" si="11">(I22+J22)/E22</f>
        <v>0.80586077147675295</v>
      </c>
      <c r="Q22" s="54">
        <f t="shared" ref="Q22" si="12">N22/E22</f>
        <v>0</v>
      </c>
      <c r="R22" s="1"/>
    </row>
    <row r="23" spans="2:18">
      <c r="B23" s="198"/>
      <c r="C23" s="11" t="s">
        <v>339</v>
      </c>
      <c r="D23" s="1" t="s">
        <v>18</v>
      </c>
      <c r="E23" s="1">
        <f>Anchoveta!H115+'Sardina comun'!H115</f>
        <v>4193.4520000000002</v>
      </c>
      <c r="F23" s="2">
        <f t="shared" si="8"/>
        <v>1677.3808000000001</v>
      </c>
      <c r="G23" s="23">
        <f>Anchoveta!I115</f>
        <v>1496.375</v>
      </c>
      <c r="H23" s="23">
        <f>'Sardina comun'!I115</f>
        <v>2057.5389999999998</v>
      </c>
      <c r="I23" s="1">
        <f t="shared" ref="I23:I31" si="13">G23+H23</f>
        <v>3553.9139999999998</v>
      </c>
      <c r="J23" s="1">
        <f>Anchoveta!J115+'Sardina comun'!J115</f>
        <v>0</v>
      </c>
      <c r="K23" s="1">
        <f>Anchoveta!K115</f>
        <v>91.884000000000015</v>
      </c>
      <c r="L23" s="1">
        <f>'Sardina comun'!K115</f>
        <v>547.65400000000045</v>
      </c>
      <c r="M23" s="1">
        <f t="shared" ref="M23:M31" si="14">K23+L23</f>
        <v>639.53800000000047</v>
      </c>
      <c r="N23" s="23" t="str">
        <f t="shared" si="6"/>
        <v>0</v>
      </c>
      <c r="O23" s="27" t="str">
        <f>Anchoveta!M116</f>
        <v>-</v>
      </c>
      <c r="P23" s="54">
        <f t="shared" si="5"/>
        <v>0.84749127926109558</v>
      </c>
      <c r="Q23" s="54">
        <f t="shared" si="7"/>
        <v>0</v>
      </c>
      <c r="R23" s="1"/>
    </row>
    <row r="24" spans="2:18">
      <c r="B24" s="198"/>
      <c r="C24" s="11" t="s">
        <v>112</v>
      </c>
      <c r="D24" s="1" t="s">
        <v>18</v>
      </c>
      <c r="E24" s="1">
        <f>Anchoveta!H116+'Sardina comun'!H116</f>
        <v>2697.6930000000002</v>
      </c>
      <c r="F24" s="2">
        <f t="shared" si="8"/>
        <v>1079.0772000000002</v>
      </c>
      <c r="G24" s="23">
        <f>Anchoveta!I116</f>
        <v>656.45400000000006</v>
      </c>
      <c r="H24" s="23">
        <f>'Sardina comun'!I116</f>
        <v>1038.7080000000001</v>
      </c>
      <c r="I24" s="1">
        <f t="shared" si="13"/>
        <v>1695.1620000000003</v>
      </c>
      <c r="J24" s="1">
        <f>Anchoveta!J116+'Sardina comun'!J116</f>
        <v>0</v>
      </c>
      <c r="K24" s="1">
        <f>Anchoveta!K116</f>
        <v>405.4129999999999</v>
      </c>
      <c r="L24" s="1">
        <f>'Sardina comun'!K116</f>
        <v>597.11799999999994</v>
      </c>
      <c r="M24" s="1">
        <f t="shared" si="14"/>
        <v>1002.5309999999998</v>
      </c>
      <c r="N24" s="23" t="str">
        <f t="shared" si="6"/>
        <v>0</v>
      </c>
      <c r="O24" s="1" t="s">
        <v>263</v>
      </c>
      <c r="P24" s="54">
        <f t="shared" si="5"/>
        <v>0.62837468903985749</v>
      </c>
      <c r="Q24" s="54">
        <f t="shared" si="7"/>
        <v>0</v>
      </c>
      <c r="R24" s="1"/>
    </row>
    <row r="25" spans="2:18" ht="14.25" customHeight="1">
      <c r="B25" s="198"/>
      <c r="C25" s="11" t="s">
        <v>113</v>
      </c>
      <c r="D25" s="1" t="s">
        <v>18</v>
      </c>
      <c r="E25" s="1">
        <f>Anchoveta!H117+'Sardina comun'!H117</f>
        <v>17394.713</v>
      </c>
      <c r="F25" s="2">
        <f t="shared" si="8"/>
        <v>6957.8852000000006</v>
      </c>
      <c r="G25" s="23">
        <f>Anchoveta!I117</f>
        <v>3873.4259999999995</v>
      </c>
      <c r="H25" s="23">
        <f>'Sardina comun'!I117</f>
        <v>8632.7259999999969</v>
      </c>
      <c r="I25" s="1">
        <f t="shared" si="13"/>
        <v>12506.151999999996</v>
      </c>
      <c r="J25" s="1">
        <f>Anchoveta!J117+'Sardina comun'!J117</f>
        <v>0</v>
      </c>
      <c r="K25" s="1">
        <f>Anchoveta!K117</f>
        <v>2726.902000000001</v>
      </c>
      <c r="L25" s="1">
        <f>'Sardina comun'!K117</f>
        <v>2161.6590000000033</v>
      </c>
      <c r="M25" s="1">
        <f t="shared" si="14"/>
        <v>4888.5610000000042</v>
      </c>
      <c r="N25" s="23" t="str">
        <f t="shared" si="6"/>
        <v>0</v>
      </c>
      <c r="O25" s="27" t="s">
        <v>263</v>
      </c>
      <c r="P25" s="54">
        <f t="shared" si="5"/>
        <v>0.71896282508369047</v>
      </c>
      <c r="Q25" s="54">
        <f t="shared" si="7"/>
        <v>0</v>
      </c>
      <c r="R25" s="1"/>
    </row>
    <row r="26" spans="2:18">
      <c r="B26" s="198"/>
      <c r="C26" s="11" t="s">
        <v>114</v>
      </c>
      <c r="D26" s="1" t="s">
        <v>18</v>
      </c>
      <c r="E26" s="1">
        <f>Anchoveta!H118+'Sardina comun'!H118</f>
        <v>2688.1239999999998</v>
      </c>
      <c r="F26" s="2">
        <f t="shared" si="8"/>
        <v>1075.2495999999999</v>
      </c>
      <c r="G26" s="23">
        <f>Anchoveta!I118</f>
        <v>766.97500000000002</v>
      </c>
      <c r="H26" s="23">
        <f>'Sardina comun'!I118</f>
        <v>1061.69</v>
      </c>
      <c r="I26" s="1">
        <f t="shared" si="13"/>
        <v>1828.665</v>
      </c>
      <c r="J26" s="1">
        <f>Anchoveta!J118+'Sardina comun'!J118</f>
        <v>0</v>
      </c>
      <c r="K26" s="1">
        <f>Anchoveta!K118</f>
        <v>314.31200000000001</v>
      </c>
      <c r="L26" s="1">
        <f>'Sardina comun'!K118</f>
        <v>545.14699999999993</v>
      </c>
      <c r="M26" s="1">
        <f t="shared" si="14"/>
        <v>859.45899999999995</v>
      </c>
      <c r="N26" s="23" t="str">
        <f t="shared" si="6"/>
        <v>0</v>
      </c>
      <c r="O26" s="27" t="str">
        <f>Anchoveta!M119</f>
        <v>-</v>
      </c>
      <c r="P26" s="54">
        <f t="shared" si="5"/>
        <v>0.68027553788441308</v>
      </c>
      <c r="Q26" s="54">
        <f t="shared" si="7"/>
        <v>0</v>
      </c>
      <c r="R26" s="1"/>
    </row>
    <row r="27" spans="2:18">
      <c r="B27" s="198"/>
      <c r="C27" s="11" t="s">
        <v>115</v>
      </c>
      <c r="D27" s="1" t="s">
        <v>18</v>
      </c>
      <c r="E27" s="1">
        <f>Anchoveta!H119+'Sardina comun'!H119</f>
        <v>2548.94</v>
      </c>
      <c r="F27" s="2">
        <f t="shared" si="8"/>
        <v>1019.576</v>
      </c>
      <c r="G27" s="23">
        <f>Anchoveta!I119</f>
        <v>551.99400000000003</v>
      </c>
      <c r="H27" s="23">
        <f>'Sardina comun'!I119</f>
        <v>881.86800000000017</v>
      </c>
      <c r="I27" s="1">
        <f t="shared" si="13"/>
        <v>1433.8620000000001</v>
      </c>
      <c r="J27" s="1">
        <f>Anchoveta!J119+'Sardina comun'!J119</f>
        <v>0</v>
      </c>
      <c r="K27" s="1">
        <f>Anchoveta!K119</f>
        <v>413.41199999999992</v>
      </c>
      <c r="L27" s="1">
        <f>'Sardina comun'!K119</f>
        <v>701.66599999999994</v>
      </c>
      <c r="M27" s="1">
        <f t="shared" si="14"/>
        <v>1115.078</v>
      </c>
      <c r="N27" s="23" t="str">
        <f t="shared" si="6"/>
        <v>0</v>
      </c>
      <c r="O27" s="27" t="s">
        <v>263</v>
      </c>
      <c r="P27" s="54">
        <f t="shared" si="5"/>
        <v>0.56253266063540142</v>
      </c>
      <c r="Q27" s="54">
        <f t="shared" si="7"/>
        <v>0</v>
      </c>
      <c r="R27" s="1"/>
    </row>
    <row r="28" spans="2:18">
      <c r="B28" s="198"/>
      <c r="C28" s="11" t="s">
        <v>116</v>
      </c>
      <c r="D28" s="1" t="s">
        <v>18</v>
      </c>
      <c r="E28" s="1">
        <f>Anchoveta!H120+'Sardina comun'!H120</f>
        <v>2966.5219999999999</v>
      </c>
      <c r="F28" s="2">
        <f t="shared" si="8"/>
        <v>1186.6088</v>
      </c>
      <c r="G28" s="23">
        <f>Anchoveta!I120</f>
        <v>872.92100000000016</v>
      </c>
      <c r="H28" s="23">
        <f>'Sardina comun'!I120</f>
        <v>1845.5620000000004</v>
      </c>
      <c r="I28" s="1">
        <f t="shared" si="13"/>
        <v>2718.4830000000006</v>
      </c>
      <c r="J28" s="1">
        <f>Anchoveta!J120+'Sardina comun'!J120</f>
        <v>0</v>
      </c>
      <c r="K28" s="1">
        <f>Anchoveta!K120</f>
        <v>250.64199999999994</v>
      </c>
      <c r="L28" s="1">
        <f>'Sardina comun'!K120</f>
        <v>-2.6030000000002929</v>
      </c>
      <c r="M28" s="1">
        <f t="shared" si="14"/>
        <v>248.03899999999965</v>
      </c>
      <c r="N28" s="23">
        <f t="shared" si="6"/>
        <v>-2.6030000000002929</v>
      </c>
      <c r="O28" s="27" t="str">
        <f>Anchoveta!M120</f>
        <v>-</v>
      </c>
      <c r="P28" s="54">
        <f t="shared" si="5"/>
        <v>0.91638727101973305</v>
      </c>
      <c r="Q28" s="54">
        <f t="shared" si="7"/>
        <v>-8.7745851876382271E-4</v>
      </c>
      <c r="R28" s="1"/>
    </row>
    <row r="29" spans="2:18">
      <c r="B29" s="198"/>
      <c r="C29" s="11" t="s">
        <v>117</v>
      </c>
      <c r="D29" s="1" t="s">
        <v>18</v>
      </c>
      <c r="E29" s="1">
        <f>Anchoveta!H121+'Sardina comun'!H121</f>
        <v>406.22900000000004</v>
      </c>
      <c r="F29" s="2">
        <f t="shared" si="8"/>
        <v>162.49160000000003</v>
      </c>
      <c r="G29" s="23">
        <f>Anchoveta!I121</f>
        <v>0.01</v>
      </c>
      <c r="H29" s="23">
        <f>'Sardina comun'!I121</f>
        <v>0.26</v>
      </c>
      <c r="I29" s="1">
        <f t="shared" si="13"/>
        <v>0.27</v>
      </c>
      <c r="J29" s="1">
        <f>Anchoveta!J121+'Sardina comun'!J121</f>
        <v>0</v>
      </c>
      <c r="K29" s="1">
        <f>Anchoveta!K121</f>
        <v>218.971</v>
      </c>
      <c r="L29" s="1">
        <f>'Sardina comun'!K121</f>
        <v>186.98800000000006</v>
      </c>
      <c r="M29" s="1">
        <f t="shared" si="14"/>
        <v>405.95900000000006</v>
      </c>
      <c r="N29" s="23" t="str">
        <f t="shared" si="6"/>
        <v>0</v>
      </c>
      <c r="O29" s="27" t="s">
        <v>263</v>
      </c>
      <c r="P29" s="54">
        <f t="shared" si="5"/>
        <v>6.6464974189435022E-4</v>
      </c>
      <c r="Q29" s="54">
        <f t="shared" si="7"/>
        <v>0</v>
      </c>
      <c r="R29" s="1"/>
    </row>
    <row r="30" spans="2:18">
      <c r="B30" s="198"/>
      <c r="C30" s="11" t="s">
        <v>118</v>
      </c>
      <c r="D30" s="1" t="s">
        <v>18</v>
      </c>
      <c r="E30" s="1">
        <f>Anchoveta!H122+'Sardina comun'!H122</f>
        <v>311.97399999999993</v>
      </c>
      <c r="F30" s="2">
        <f t="shared" si="8"/>
        <v>124.78959999999998</v>
      </c>
      <c r="G30" s="23">
        <f>Anchoveta!I122</f>
        <v>77.784999999999997</v>
      </c>
      <c r="H30" s="23">
        <f>'Sardina comun'!I122</f>
        <v>143.01300000000001</v>
      </c>
      <c r="I30" s="1">
        <f t="shared" si="13"/>
        <v>220.798</v>
      </c>
      <c r="J30" s="1">
        <f>Anchoveta!J122+'Sardina comun'!J122</f>
        <v>0</v>
      </c>
      <c r="K30" s="1">
        <f>Anchoveta!K122</f>
        <v>83.850000000000023</v>
      </c>
      <c r="L30" s="1">
        <f>'Sardina comun'!K122</f>
        <v>7.3259999999999366</v>
      </c>
      <c r="M30" s="1">
        <f t="shared" si="14"/>
        <v>91.175999999999959</v>
      </c>
      <c r="N30" s="23" t="str">
        <f t="shared" si="6"/>
        <v>0</v>
      </c>
      <c r="O30" s="27" t="s">
        <v>263</v>
      </c>
      <c r="P30" s="54">
        <f t="shared" si="5"/>
        <v>0.70774487617557891</v>
      </c>
      <c r="Q30" s="54">
        <f t="shared" si="7"/>
        <v>0</v>
      </c>
      <c r="R30" s="1"/>
    </row>
    <row r="31" spans="2:18">
      <c r="B31" s="198"/>
      <c r="C31" s="11" t="s">
        <v>119</v>
      </c>
      <c r="D31" s="1" t="s">
        <v>18</v>
      </c>
      <c r="E31" s="1">
        <f>Anchoveta!H123+'Sardina comun'!H123</f>
        <v>432.85</v>
      </c>
      <c r="F31" s="2">
        <f t="shared" si="8"/>
        <v>173.14000000000001</v>
      </c>
      <c r="G31" s="23">
        <f>Anchoveta!I123</f>
        <v>109.289</v>
      </c>
      <c r="H31" s="23">
        <f>'Sardina comun'!I123</f>
        <v>266.97399999999999</v>
      </c>
      <c r="I31" s="1">
        <f t="shared" si="13"/>
        <v>376.26299999999998</v>
      </c>
      <c r="J31" s="1">
        <f>Anchoveta!J123+'Sardina comun'!J123</f>
        <v>0</v>
      </c>
      <c r="K31" s="1">
        <f>Anchoveta!K123</f>
        <v>54.652000000000001</v>
      </c>
      <c r="L31" s="1">
        <f>'Sardina comun'!K123</f>
        <v>1.9350000000000023</v>
      </c>
      <c r="M31" s="1">
        <f t="shared" si="14"/>
        <v>56.587000000000003</v>
      </c>
      <c r="N31" s="23" t="str">
        <f t="shared" si="6"/>
        <v>0</v>
      </c>
      <c r="O31" s="27" t="str">
        <f>Anchoveta!M123</f>
        <v>-</v>
      </c>
      <c r="P31" s="54">
        <f t="shared" si="5"/>
        <v>0.86926879981517835</v>
      </c>
      <c r="Q31" s="54">
        <f t="shared" si="7"/>
        <v>0</v>
      </c>
      <c r="R31" s="1"/>
    </row>
    <row r="32" spans="2:18">
      <c r="G32" s="24"/>
      <c r="H32" s="24"/>
    </row>
    <row r="33" spans="2:18">
      <c r="B33" s="198" t="s">
        <v>163</v>
      </c>
      <c r="C33" s="14" t="s">
        <v>103</v>
      </c>
      <c r="D33" s="1" t="s">
        <v>18</v>
      </c>
      <c r="E33" s="1">
        <f>Anchoveta!H127+'Sardina comun'!H127</f>
        <v>174.553</v>
      </c>
      <c r="F33" s="2">
        <f t="shared" ref="F33:F43" si="15">E33*0.4</f>
        <v>69.821200000000005</v>
      </c>
      <c r="G33" s="23">
        <f>Anchoveta!I127</f>
        <v>1</v>
      </c>
      <c r="H33" s="23">
        <f>'Sardina comun'!I127</f>
        <v>1</v>
      </c>
      <c r="I33" s="1">
        <f>G33+H33</f>
        <v>2</v>
      </c>
      <c r="J33" s="1">
        <f>Anchoveta!J127+'Sardina comun'!J127</f>
        <v>0</v>
      </c>
      <c r="K33" s="1">
        <f>Anchoveta!K127</f>
        <v>150.93600000000004</v>
      </c>
      <c r="L33" s="1">
        <f>'Sardina comun'!K127</f>
        <v>21.616999999999962</v>
      </c>
      <c r="M33" s="1">
        <f>K33+L33</f>
        <v>172.553</v>
      </c>
      <c r="N33" s="23" t="str">
        <f t="shared" ref="N33:N43" si="16">IF(K33&lt;0,K33,IF(K33&lt;0,L33,IF(L33&lt;0,L33,IF(L33&gt;0,"0","0"))))</f>
        <v>0</v>
      </c>
      <c r="O33" s="27"/>
      <c r="P33" s="54">
        <f t="shared" si="5"/>
        <v>1.1457838020543903E-2</v>
      </c>
      <c r="Q33" s="54">
        <f t="shared" si="7"/>
        <v>0</v>
      </c>
      <c r="R33" s="1"/>
    </row>
    <row r="34" spans="2:18">
      <c r="B34" s="198"/>
      <c r="C34" s="14" t="s">
        <v>104</v>
      </c>
      <c r="D34" s="1" t="s">
        <v>18</v>
      </c>
      <c r="E34" s="1">
        <f>Anchoveta!H128+'Sardina comun'!H128</f>
        <v>2440.71</v>
      </c>
      <c r="F34" s="2">
        <f t="shared" si="15"/>
        <v>976.28400000000011</v>
      </c>
      <c r="G34" s="23">
        <f>Anchoveta!I128</f>
        <v>37.152999999999999</v>
      </c>
      <c r="H34" s="23">
        <f>'Sardina comun'!I128</f>
        <v>0.67100000000000004</v>
      </c>
      <c r="I34" s="1">
        <f t="shared" ref="I34:I43" si="17">G34+H34</f>
        <v>37.823999999999998</v>
      </c>
      <c r="J34" s="1">
        <f>Anchoveta!J128+'Sardina comun'!J128</f>
        <v>0</v>
      </c>
      <c r="K34" s="1">
        <f>Anchoveta!K128</f>
        <v>1499.95</v>
      </c>
      <c r="L34" s="1">
        <f>'Sardina comun'!K128</f>
        <v>902.93599999999992</v>
      </c>
      <c r="M34" s="1">
        <f t="shared" ref="M34:M43" si="18">K34+L34</f>
        <v>2402.886</v>
      </c>
      <c r="N34" s="23" t="str">
        <f t="shared" si="16"/>
        <v>0</v>
      </c>
      <c r="O34" s="27"/>
      <c r="P34" s="54">
        <f t="shared" si="5"/>
        <v>1.5497129933502956E-2</v>
      </c>
      <c r="Q34" s="54">
        <f t="shared" si="7"/>
        <v>0</v>
      </c>
      <c r="R34" s="1"/>
    </row>
    <row r="35" spans="2:18">
      <c r="B35" s="198"/>
      <c r="C35" s="14" t="s">
        <v>252</v>
      </c>
      <c r="D35" s="1" t="s">
        <v>18</v>
      </c>
      <c r="E35" s="1">
        <f>Anchoveta!H129+'Sardina comun'!H129</f>
        <v>2156.2220000000002</v>
      </c>
      <c r="F35" s="2">
        <f t="shared" si="15"/>
        <v>862.48880000000008</v>
      </c>
      <c r="G35" s="23">
        <f>Anchoveta!I129</f>
        <v>134.85900000000001</v>
      </c>
      <c r="H35" s="23">
        <f>'Sardina comun'!I129</f>
        <v>1.5299999999999998</v>
      </c>
      <c r="I35" s="1">
        <f t="shared" si="17"/>
        <v>136.38900000000001</v>
      </c>
      <c r="J35" s="1">
        <f>Anchoveta!J129+'Sardina comun'!J129</f>
        <v>0</v>
      </c>
      <c r="K35" s="1">
        <f>Anchoveta!K129</f>
        <v>1462.8890000000001</v>
      </c>
      <c r="L35" s="1">
        <f>'Sardina comun'!K129</f>
        <v>556.94400000000019</v>
      </c>
      <c r="M35" s="1">
        <f t="shared" si="18"/>
        <v>2019.8330000000003</v>
      </c>
      <c r="N35" s="23" t="str">
        <f t="shared" si="16"/>
        <v>0</v>
      </c>
      <c r="O35" s="1"/>
      <c r="P35" s="54">
        <f t="shared" si="5"/>
        <v>6.3253690946479535E-2</v>
      </c>
      <c r="Q35" s="54">
        <f t="shared" si="7"/>
        <v>0</v>
      </c>
      <c r="R35" s="1"/>
    </row>
    <row r="36" spans="2:18">
      <c r="B36" s="198"/>
      <c r="C36" s="14" t="s">
        <v>105</v>
      </c>
      <c r="D36" s="1" t="s">
        <v>18</v>
      </c>
      <c r="E36" s="1">
        <f>Anchoveta!H130+'Sardina comun'!H130</f>
        <v>261.048</v>
      </c>
      <c r="F36" s="2">
        <f t="shared" si="15"/>
        <v>104.4192</v>
      </c>
      <c r="G36" s="23">
        <f>Anchoveta!I130</f>
        <v>0</v>
      </c>
      <c r="H36" s="23">
        <f>'Sardina comun'!I130</f>
        <v>0</v>
      </c>
      <c r="I36" s="1">
        <f t="shared" si="17"/>
        <v>0</v>
      </c>
      <c r="J36" s="1">
        <f>Anchoveta!J130+'Sardina comun'!J130</f>
        <v>0</v>
      </c>
      <c r="K36" s="1">
        <f>Anchoveta!K130</f>
        <v>211.048</v>
      </c>
      <c r="L36" s="1">
        <f>'Sardina comun'!K130</f>
        <v>50</v>
      </c>
      <c r="M36" s="1">
        <f t="shared" si="18"/>
        <v>261.048</v>
      </c>
      <c r="N36" s="23" t="str">
        <f t="shared" si="16"/>
        <v>0</v>
      </c>
      <c r="O36" s="27" t="s">
        <v>263</v>
      </c>
      <c r="P36" s="54">
        <f t="shared" si="5"/>
        <v>0</v>
      </c>
      <c r="Q36" s="54">
        <f t="shared" si="7"/>
        <v>0</v>
      </c>
      <c r="R36" s="1"/>
    </row>
    <row r="37" spans="2:18">
      <c r="B37" s="198"/>
      <c r="C37" s="14" t="s">
        <v>290</v>
      </c>
      <c r="D37" s="1" t="s">
        <v>18</v>
      </c>
      <c r="E37" s="1">
        <f>Anchoveta!H131+'Sardina comun'!H131</f>
        <v>332.59799999999996</v>
      </c>
      <c r="F37" s="2">
        <f t="shared" si="15"/>
        <v>133.03919999999999</v>
      </c>
      <c r="G37" s="23">
        <f>Anchoveta!I131</f>
        <v>19.119999999999997</v>
      </c>
      <c r="H37" s="23">
        <f>'Sardina comun'!I131</f>
        <v>0</v>
      </c>
      <c r="I37" s="1">
        <f t="shared" si="17"/>
        <v>19.119999999999997</v>
      </c>
      <c r="J37" s="1">
        <f>Anchoveta!J131+'Sardina comun'!J131</f>
        <v>0</v>
      </c>
      <c r="K37" s="1">
        <f>Anchoveta!K131</f>
        <v>247.53899999999999</v>
      </c>
      <c r="L37" s="1">
        <f>'Sardina comun'!K131</f>
        <v>65.938999999999965</v>
      </c>
      <c r="M37" s="1">
        <f t="shared" si="18"/>
        <v>313.47799999999995</v>
      </c>
      <c r="N37" s="23" t="str">
        <f t="shared" si="16"/>
        <v>0</v>
      </c>
      <c r="O37" s="1"/>
      <c r="P37" s="54">
        <f t="shared" si="5"/>
        <v>5.7486815915910497E-2</v>
      </c>
      <c r="Q37" s="54">
        <f t="shared" si="7"/>
        <v>0</v>
      </c>
      <c r="R37" s="1"/>
    </row>
    <row r="38" spans="2:18">
      <c r="B38" s="198"/>
      <c r="C38" s="14" t="s">
        <v>291</v>
      </c>
      <c r="D38" s="1" t="s">
        <v>18</v>
      </c>
      <c r="E38" s="1">
        <f>Anchoveta!H132+'Sardina comun'!H132</f>
        <v>360.14200000000005</v>
      </c>
      <c r="F38" s="2">
        <f t="shared" si="15"/>
        <v>144.05680000000004</v>
      </c>
      <c r="G38" s="23">
        <f>Anchoveta!I132</f>
        <v>0</v>
      </c>
      <c r="H38" s="23">
        <f>'Sardina comun'!I132</f>
        <v>0</v>
      </c>
      <c r="I38" s="1">
        <f t="shared" si="17"/>
        <v>0</v>
      </c>
      <c r="J38" s="1">
        <f>Anchoveta!J132+'Sardina comun'!J132</f>
        <v>0</v>
      </c>
      <c r="K38" s="1">
        <f>Anchoveta!K132</f>
        <v>159.36000000000001</v>
      </c>
      <c r="L38" s="1">
        <f>'Sardina comun'!K132</f>
        <v>200.78200000000001</v>
      </c>
      <c r="M38" s="1">
        <f t="shared" si="18"/>
        <v>360.14200000000005</v>
      </c>
      <c r="N38" s="23" t="str">
        <f t="shared" si="16"/>
        <v>0</v>
      </c>
      <c r="O38" s="27"/>
      <c r="P38" s="54">
        <f t="shared" si="5"/>
        <v>0</v>
      </c>
      <c r="Q38" s="54">
        <f t="shared" si="7"/>
        <v>0</v>
      </c>
      <c r="R38" s="1"/>
    </row>
    <row r="39" spans="2:18">
      <c r="B39" s="198"/>
      <c r="C39" s="14" t="s">
        <v>106</v>
      </c>
      <c r="D39" s="1" t="s">
        <v>18</v>
      </c>
      <c r="E39" s="1">
        <f>Anchoveta!H133+'Sardina comun'!H133</f>
        <v>448.38900000000001</v>
      </c>
      <c r="F39" s="2">
        <f t="shared" si="15"/>
        <v>179.35560000000001</v>
      </c>
      <c r="G39" s="23">
        <f>Anchoveta!I133</f>
        <v>0</v>
      </c>
      <c r="H39" s="23">
        <f>'Sardina comun'!I133</f>
        <v>0</v>
      </c>
      <c r="I39" s="1">
        <f t="shared" si="17"/>
        <v>0</v>
      </c>
      <c r="J39" s="1">
        <f>Anchoveta!J133+'Sardina comun'!J133</f>
        <v>0</v>
      </c>
      <c r="K39" s="1">
        <f>Anchoveta!K133</f>
        <v>230.255</v>
      </c>
      <c r="L39" s="1">
        <f>'Sardina comun'!K133</f>
        <v>218.13400000000001</v>
      </c>
      <c r="M39" s="1">
        <f t="shared" si="18"/>
        <v>448.38900000000001</v>
      </c>
      <c r="N39" s="23" t="str">
        <f t="shared" si="16"/>
        <v>0</v>
      </c>
      <c r="O39" s="27" t="str">
        <f>Anchoveta!M133</f>
        <v>-</v>
      </c>
      <c r="P39" s="54">
        <f t="shared" si="5"/>
        <v>0</v>
      </c>
      <c r="Q39" s="54">
        <f t="shared" si="7"/>
        <v>0</v>
      </c>
      <c r="R39" s="1"/>
    </row>
    <row r="40" spans="2:18">
      <c r="B40" s="198"/>
      <c r="C40" s="14" t="s">
        <v>107</v>
      </c>
      <c r="D40" s="1" t="s">
        <v>18</v>
      </c>
      <c r="E40" s="1">
        <f>Anchoveta!H134+'Sardina comun'!H134</f>
        <v>1028.5780000000004</v>
      </c>
      <c r="F40" s="2">
        <f t="shared" si="15"/>
        <v>411.43120000000022</v>
      </c>
      <c r="G40" s="23">
        <f>Anchoveta!I134</f>
        <v>25.582000000000001</v>
      </c>
      <c r="H40" s="23">
        <f>'Sardina comun'!I134</f>
        <v>2.2600000000000002</v>
      </c>
      <c r="I40" s="1">
        <f t="shared" si="17"/>
        <v>27.842000000000002</v>
      </c>
      <c r="J40" s="1">
        <f>Anchoveta!J134+'Sardina comun'!J134</f>
        <v>0</v>
      </c>
      <c r="K40" s="1">
        <f>Anchoveta!K134</f>
        <v>846.54800000000012</v>
      </c>
      <c r="L40" s="1">
        <f>'Sardina comun'!K134</f>
        <v>154.18800000000033</v>
      </c>
      <c r="M40" s="1">
        <f t="shared" si="18"/>
        <v>1000.7360000000004</v>
      </c>
      <c r="N40" s="23" t="str">
        <f t="shared" si="16"/>
        <v>0</v>
      </c>
      <c r="O40" s="1"/>
      <c r="P40" s="54">
        <f t="shared" si="5"/>
        <v>2.7068438173867213E-2</v>
      </c>
      <c r="Q40" s="54">
        <f t="shared" si="7"/>
        <v>0</v>
      </c>
      <c r="R40" s="1"/>
    </row>
    <row r="41" spans="2:18">
      <c r="B41" s="198"/>
      <c r="C41" s="14" t="s">
        <v>340</v>
      </c>
      <c r="D41" s="1" t="s">
        <v>18</v>
      </c>
      <c r="E41" s="1">
        <f>Anchoveta!H135+'Sardina comun'!H135</f>
        <v>113.79700000000003</v>
      </c>
      <c r="F41" s="2">
        <f t="shared" si="15"/>
        <v>45.518800000000013</v>
      </c>
      <c r="G41" s="23">
        <f>Anchoveta!I135</f>
        <v>0</v>
      </c>
      <c r="H41" s="23">
        <f>'Sardina comun'!I135</f>
        <v>0</v>
      </c>
      <c r="I41" s="1">
        <f t="shared" si="17"/>
        <v>0</v>
      </c>
      <c r="J41" s="1">
        <f>Anchoveta!J135+'Sardina comun'!J135</f>
        <v>0</v>
      </c>
      <c r="K41" s="1">
        <f>Anchoveta!K135</f>
        <v>107.351</v>
      </c>
      <c r="L41" s="1">
        <f>'Sardina comun'!K135</f>
        <v>6.4460000000000264</v>
      </c>
      <c r="M41" s="1">
        <f t="shared" si="18"/>
        <v>113.79700000000003</v>
      </c>
      <c r="N41" s="23" t="str">
        <f t="shared" si="16"/>
        <v>0</v>
      </c>
      <c r="O41" s="1"/>
      <c r="P41" s="54">
        <f t="shared" si="5"/>
        <v>0</v>
      </c>
      <c r="Q41" s="54">
        <f t="shared" si="7"/>
        <v>0</v>
      </c>
      <c r="R41" s="1"/>
    </row>
    <row r="42" spans="2:18">
      <c r="B42" s="198"/>
      <c r="C42" s="14" t="s">
        <v>108</v>
      </c>
      <c r="D42" s="1" t="s">
        <v>18</v>
      </c>
      <c r="E42" s="1">
        <f>Anchoveta!H136+'Sardina comun'!H136</f>
        <v>94.007999999999981</v>
      </c>
      <c r="F42" s="2">
        <f t="shared" si="15"/>
        <v>37.603199999999994</v>
      </c>
      <c r="G42" s="23">
        <f>Anchoveta!I136</f>
        <v>0</v>
      </c>
      <c r="H42" s="23">
        <f>'Sardina comun'!I136</f>
        <v>0</v>
      </c>
      <c r="I42" s="1">
        <f t="shared" si="17"/>
        <v>0</v>
      </c>
      <c r="J42" s="1">
        <f>Anchoveta!J136+'Sardina comun'!J136</f>
        <v>0</v>
      </c>
      <c r="K42" s="1">
        <f>Anchoveta!K136</f>
        <v>85.836999999999989</v>
      </c>
      <c r="L42" s="1">
        <f>'Sardina comun'!K136</f>
        <v>8.1709999999999923</v>
      </c>
      <c r="M42" s="1">
        <f t="shared" si="18"/>
        <v>94.007999999999981</v>
      </c>
      <c r="N42" s="23" t="str">
        <f t="shared" si="16"/>
        <v>0</v>
      </c>
      <c r="O42" s="1"/>
      <c r="P42" s="54">
        <f t="shared" si="5"/>
        <v>0</v>
      </c>
      <c r="Q42" s="54">
        <f t="shared" si="7"/>
        <v>0</v>
      </c>
      <c r="R42" s="1"/>
    </row>
    <row r="43" spans="2:18">
      <c r="B43" s="198"/>
      <c r="C43" s="14" t="s">
        <v>109</v>
      </c>
      <c r="D43" s="1" t="s">
        <v>18</v>
      </c>
      <c r="E43" s="1">
        <f>Anchoveta!H137+'Sardina comun'!H137</f>
        <v>560.28800000000001</v>
      </c>
      <c r="F43" s="2">
        <f t="shared" si="15"/>
        <v>224.11520000000002</v>
      </c>
      <c r="G43" s="23">
        <f>Anchoveta!I137</f>
        <v>117.244</v>
      </c>
      <c r="H43" s="23">
        <f>'Sardina comun'!I137</f>
        <v>188.434</v>
      </c>
      <c r="I43" s="1">
        <f t="shared" si="17"/>
        <v>305.678</v>
      </c>
      <c r="J43" s="1">
        <f>Anchoveta!J137+'Sardina comun'!J137</f>
        <v>0</v>
      </c>
      <c r="K43" s="1">
        <f>Anchoveta!K137</f>
        <v>130.679</v>
      </c>
      <c r="L43" s="1">
        <f>'Sardina comun'!K137</f>
        <v>123.93100000000001</v>
      </c>
      <c r="M43" s="1">
        <f t="shared" si="18"/>
        <v>254.61</v>
      </c>
      <c r="N43" s="23" t="str">
        <f t="shared" si="16"/>
        <v>0</v>
      </c>
      <c r="O43" s="27" t="s">
        <v>263</v>
      </c>
      <c r="P43" s="54">
        <f t="shared" si="5"/>
        <v>0.54557299103318291</v>
      </c>
      <c r="Q43" s="54">
        <f t="shared" si="7"/>
        <v>0</v>
      </c>
      <c r="R43" s="1"/>
    </row>
  </sheetData>
  <mergeCells count="6">
    <mergeCell ref="B6:B11"/>
    <mergeCell ref="B15:B17"/>
    <mergeCell ref="B21:B31"/>
    <mergeCell ref="B33:B43"/>
    <mergeCell ref="B2:Q2"/>
    <mergeCell ref="B3:Q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88"/>
  <sheetViews>
    <sheetView zoomScale="90" zoomScaleNormal="90" workbookViewId="0">
      <selection activeCell="E88" sqref="E88"/>
    </sheetView>
  </sheetViews>
  <sheetFormatPr baseColWidth="10" defaultRowHeight="15"/>
  <cols>
    <col min="1" max="1" width="4" bestFit="1" customWidth="1"/>
    <col min="2" max="2" width="10.42578125" bestFit="1" customWidth="1"/>
    <col min="3" max="3" width="51.140625" customWidth="1"/>
    <col min="4" max="4" width="11.85546875" bestFit="1" customWidth="1"/>
    <col min="5" max="5" width="12.28515625" bestFit="1" customWidth="1"/>
    <col min="6" max="6" width="11.140625" bestFit="1" customWidth="1"/>
    <col min="7" max="7" width="10.42578125" bestFit="1" customWidth="1"/>
    <col min="8" max="8" width="7.85546875" bestFit="1" customWidth="1"/>
    <col min="9" max="9" width="9" bestFit="1" customWidth="1"/>
    <col min="10" max="10" width="10.28515625" bestFit="1" customWidth="1"/>
    <col min="11" max="11" width="10.42578125" bestFit="1" customWidth="1"/>
    <col min="12" max="12" width="19.42578125" bestFit="1" customWidth="1"/>
    <col min="13" max="13" width="14.42578125" bestFit="1" customWidth="1"/>
    <col min="14" max="14" width="11" bestFit="1" customWidth="1"/>
    <col min="15" max="15" width="16.85546875" bestFit="1" customWidth="1"/>
    <col min="16" max="16" width="11.28515625" bestFit="1" customWidth="1"/>
    <col min="17" max="17" width="8.42578125" bestFit="1" customWidth="1"/>
  </cols>
  <sheetData>
    <row r="2" spans="1:17">
      <c r="B2" s="204" t="s">
        <v>338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5" spans="1:17" ht="45">
      <c r="B5" s="15" t="s">
        <v>45</v>
      </c>
      <c r="C5" s="15" t="s">
        <v>34</v>
      </c>
      <c r="D5" s="15" t="s">
        <v>0</v>
      </c>
      <c r="E5" s="15" t="s">
        <v>132</v>
      </c>
      <c r="F5" s="15" t="s">
        <v>282</v>
      </c>
      <c r="G5" s="15" t="s">
        <v>149</v>
      </c>
      <c r="H5" s="15" t="s">
        <v>150</v>
      </c>
      <c r="I5" s="15" t="s">
        <v>269</v>
      </c>
      <c r="J5" s="15" t="s">
        <v>273</v>
      </c>
      <c r="K5" s="15" t="s">
        <v>157</v>
      </c>
      <c r="L5" s="15" t="s">
        <v>152</v>
      </c>
      <c r="M5" s="15" t="s">
        <v>271</v>
      </c>
      <c r="N5" s="15" t="s">
        <v>272</v>
      </c>
      <c r="O5" s="15" t="s">
        <v>154</v>
      </c>
      <c r="P5" s="15" t="s">
        <v>155</v>
      </c>
      <c r="Q5" s="15" t="s">
        <v>156</v>
      </c>
    </row>
    <row r="6" spans="1:17">
      <c r="A6">
        <v>1</v>
      </c>
      <c r="B6" s="203" t="s">
        <v>175</v>
      </c>
      <c r="C6" s="11" t="s">
        <v>46</v>
      </c>
      <c r="D6" s="1" t="s">
        <v>18</v>
      </c>
      <c r="E6" s="1">
        <f>Anchoveta!H23+'Sardina comun'!H23</f>
        <v>249.56100000000001</v>
      </c>
      <c r="F6" s="2">
        <f>E6*0.4</f>
        <v>99.824400000000011</v>
      </c>
      <c r="G6" s="78">
        <f>Anchoveta!I23</f>
        <v>6.88</v>
      </c>
      <c r="H6" s="78">
        <f>'Sardina comun'!I23</f>
        <v>1.31</v>
      </c>
      <c r="I6" s="78">
        <f>G6+H6</f>
        <v>8.19</v>
      </c>
      <c r="J6" s="78">
        <f>Anchoveta!J23+'Sardina comun'!J23</f>
        <v>0</v>
      </c>
      <c r="K6" s="1">
        <f>Anchoveta!K23</f>
        <v>121.81800000000001</v>
      </c>
      <c r="L6" s="1">
        <f>'Sardina comun'!K23</f>
        <v>119.553</v>
      </c>
      <c r="M6" s="1">
        <f>K6+L6</f>
        <v>241.37100000000001</v>
      </c>
      <c r="N6" s="21" t="str">
        <f>IF(K6&lt;0,K6,IF(K6&lt;0,L6,IF(L6&lt;0,L6,IF(L6&gt;0,"0","0"))))</f>
        <v>0</v>
      </c>
      <c r="O6" s="73" t="s">
        <v>263</v>
      </c>
      <c r="P6" s="4">
        <f>(I6+J6)/E6</f>
        <v>3.2817627754336609E-2</v>
      </c>
      <c r="Q6" s="3">
        <f>N6/E6</f>
        <v>0</v>
      </c>
    </row>
    <row r="7" spans="1:17">
      <c r="A7">
        <v>2</v>
      </c>
      <c r="B7" s="203"/>
      <c r="C7" s="11" t="s">
        <v>164</v>
      </c>
      <c r="D7" s="1" t="s">
        <v>18</v>
      </c>
      <c r="E7" s="1">
        <f>Anchoveta!H24+'Sardina comun'!H24</f>
        <v>427.12200000000001</v>
      </c>
      <c r="F7" s="2">
        <f t="shared" ref="F7:F10" si="0">E7*0.4</f>
        <v>170.84880000000001</v>
      </c>
      <c r="G7" s="78">
        <f>Anchoveta!I24</f>
        <v>17.170999999999999</v>
      </c>
      <c r="H7" s="78">
        <f>'Sardina comun'!I24</f>
        <v>75.869000000000014</v>
      </c>
      <c r="I7" s="78">
        <f t="shared" ref="I7:I10" si="1">G7+H7</f>
        <v>93.04000000000002</v>
      </c>
      <c r="J7" s="78">
        <f>Anchoveta!J24+'Sardina comun'!J24</f>
        <v>0</v>
      </c>
      <c r="K7" s="1">
        <f>Anchoveta!K24</f>
        <v>188.67500000000001</v>
      </c>
      <c r="L7" s="1">
        <f>'Sardina comun'!K24</f>
        <v>145.40699999999998</v>
      </c>
      <c r="M7" s="1">
        <f t="shared" ref="M7:M10" si="2">K7+L7</f>
        <v>334.08199999999999</v>
      </c>
      <c r="N7" s="23" t="str">
        <f t="shared" ref="N7:N10" si="3">IF(K7&lt;0,K7,IF(K7&lt;0,L7,IF(L7&lt;0,L7,IF(L7&gt;0,"0","0"))))</f>
        <v>0</v>
      </c>
      <c r="O7" s="73" t="s">
        <v>263</v>
      </c>
      <c r="P7" s="4">
        <f t="shared" ref="P7:P10" si="4">(I7+J7)/E7</f>
        <v>0.21783003451004634</v>
      </c>
      <c r="Q7" s="3">
        <f t="shared" ref="Q7:Q10" si="5">N7/E7</f>
        <v>0</v>
      </c>
    </row>
    <row r="8" spans="1:17">
      <c r="A8">
        <v>3</v>
      </c>
      <c r="B8" s="203"/>
      <c r="C8" s="11" t="s">
        <v>47</v>
      </c>
      <c r="D8" s="1" t="s">
        <v>18</v>
      </c>
      <c r="E8" s="1">
        <f>Anchoveta!H25+'Sardina comun'!H25</f>
        <v>1915.413</v>
      </c>
      <c r="F8" s="2">
        <f t="shared" si="0"/>
        <v>766.16520000000003</v>
      </c>
      <c r="G8" s="78">
        <f>Anchoveta!I25</f>
        <v>116.16199999999999</v>
      </c>
      <c r="H8" s="78">
        <f>'Sardina comun'!I25</f>
        <v>200.57300000000001</v>
      </c>
      <c r="I8" s="78">
        <f t="shared" si="1"/>
        <v>316.73500000000001</v>
      </c>
      <c r="J8" s="78">
        <f>Anchoveta!J25+'Sardina comun'!J25</f>
        <v>0</v>
      </c>
      <c r="K8" s="1">
        <f>Anchoveta!K25</f>
        <v>806.94799999999998</v>
      </c>
      <c r="L8" s="1">
        <f>'Sardina comun'!K25</f>
        <v>791.73</v>
      </c>
      <c r="M8" s="1">
        <f t="shared" si="2"/>
        <v>1598.6779999999999</v>
      </c>
      <c r="N8" s="23" t="str">
        <f>IF(K8&lt;0,K8,IF(K8&lt;0,L8,IF(L8&lt;0,L8,IF(L8&gt;0,"0","0"))))</f>
        <v>0</v>
      </c>
      <c r="O8" s="30" t="s">
        <v>263</v>
      </c>
      <c r="P8" s="4">
        <f t="shared" si="4"/>
        <v>0.16536120408496757</v>
      </c>
      <c r="Q8" s="3">
        <f t="shared" si="5"/>
        <v>0</v>
      </c>
    </row>
    <row r="9" spans="1:17">
      <c r="A9">
        <v>4</v>
      </c>
      <c r="B9" s="203"/>
      <c r="C9" s="11" t="s">
        <v>48</v>
      </c>
      <c r="D9" s="1" t="s">
        <v>18</v>
      </c>
      <c r="E9" s="1">
        <f>Anchoveta!H26+'Sardina comun'!H26</f>
        <v>4124.4459999999999</v>
      </c>
      <c r="F9" s="2">
        <f t="shared" si="0"/>
        <v>1649.7784000000001</v>
      </c>
      <c r="G9" s="78">
        <f>Anchoveta!I26</f>
        <v>289.899</v>
      </c>
      <c r="H9" s="78">
        <f>'Sardina comun'!I26</f>
        <v>452.21100000000001</v>
      </c>
      <c r="I9" s="78">
        <f t="shared" si="1"/>
        <v>742.11</v>
      </c>
      <c r="J9" s="78">
        <f>Anchoveta!J26+'Sardina comun'!J26</f>
        <v>0</v>
      </c>
      <c r="K9" s="1">
        <f>Anchoveta!K26</f>
        <v>1697.83</v>
      </c>
      <c r="L9" s="1">
        <f>'Sardina comun'!K26</f>
        <v>1684.5060000000001</v>
      </c>
      <c r="M9" s="1">
        <f t="shared" si="2"/>
        <v>3382.3360000000002</v>
      </c>
      <c r="N9" s="23" t="str">
        <f t="shared" si="3"/>
        <v>0</v>
      </c>
      <c r="O9" s="30" t="s">
        <v>263</v>
      </c>
      <c r="P9" s="4">
        <f t="shared" si="4"/>
        <v>0.17992961963861329</v>
      </c>
      <c r="Q9" s="3">
        <f t="shared" si="5"/>
        <v>0</v>
      </c>
    </row>
    <row r="10" spans="1:17">
      <c r="A10">
        <v>5</v>
      </c>
      <c r="B10" s="203"/>
      <c r="C10" s="11" t="s">
        <v>49</v>
      </c>
      <c r="D10" s="1" t="s">
        <v>18</v>
      </c>
      <c r="E10" s="1">
        <f>Anchoveta!H27+'Sardina comun'!H27</f>
        <v>1924.0540000000001</v>
      </c>
      <c r="F10" s="2">
        <f t="shared" si="0"/>
        <v>769.62160000000006</v>
      </c>
      <c r="G10" s="78">
        <f>Anchoveta!I27</f>
        <v>458.541</v>
      </c>
      <c r="H10" s="78">
        <f>'Sardina comun'!I27</f>
        <v>564.30099999999993</v>
      </c>
      <c r="I10" s="78">
        <f t="shared" si="1"/>
        <v>1022.8419999999999</v>
      </c>
      <c r="J10" s="78">
        <f>Anchoveta!J27+'Sardina comun'!J27</f>
        <v>0</v>
      </c>
      <c r="K10" s="1">
        <f>Anchoveta!K27</f>
        <v>772.59100000000012</v>
      </c>
      <c r="L10" s="1">
        <f>'Sardina comun'!K27</f>
        <v>128.62100000000009</v>
      </c>
      <c r="M10" s="1">
        <f t="shared" si="2"/>
        <v>901.21200000000022</v>
      </c>
      <c r="N10" s="21" t="str">
        <f t="shared" si="3"/>
        <v>0</v>
      </c>
      <c r="O10" s="73" t="s">
        <v>263</v>
      </c>
      <c r="P10" s="4">
        <f t="shared" si="4"/>
        <v>0.53160774073908523</v>
      </c>
      <c r="Q10" s="3">
        <f t="shared" si="5"/>
        <v>0</v>
      </c>
    </row>
    <row r="11" spans="1:17">
      <c r="A11">
        <v>6</v>
      </c>
      <c r="B11" s="203"/>
      <c r="C11" s="11" t="s">
        <v>50</v>
      </c>
      <c r="D11" s="1" t="s">
        <v>18</v>
      </c>
      <c r="E11" s="1">
        <f>Anchoveta!H28+'Sardina comun'!H28</f>
        <v>8768.7430000000004</v>
      </c>
      <c r="F11" s="2">
        <f t="shared" ref="F11:F74" si="6">E11*0.4</f>
        <v>3507.4972000000002</v>
      </c>
      <c r="G11" s="78">
        <f>Anchoveta!I28</f>
        <v>1756.5420000000001</v>
      </c>
      <c r="H11" s="78">
        <f>'Sardina comun'!I28</f>
        <v>1320.3600000000001</v>
      </c>
      <c r="I11" s="78">
        <f t="shared" ref="I11:I74" si="7">G11+H11</f>
        <v>3076.902</v>
      </c>
      <c r="J11" s="78">
        <f>Anchoveta!J28+'Sardina comun'!J28</f>
        <v>0</v>
      </c>
      <c r="K11" s="1">
        <f>Anchoveta!K28</f>
        <v>2608.6149999999998</v>
      </c>
      <c r="L11" s="1">
        <f>'Sardina comun'!K28</f>
        <v>3083.2260000000001</v>
      </c>
      <c r="M11" s="1">
        <f t="shared" ref="M11:M74" si="8">K11+L11</f>
        <v>5691.8410000000003</v>
      </c>
      <c r="N11" s="23" t="str">
        <f t="shared" ref="N11:N74" si="9">IF(K11&lt;0,K11,IF(K11&lt;0,L11,IF(L11&lt;0,L11,IF(L11&gt;0,"0","0"))))</f>
        <v>0</v>
      </c>
      <c r="O11" s="73" t="s">
        <v>263</v>
      </c>
      <c r="P11" s="4">
        <f t="shared" ref="P11:P74" si="10">(I11+J11)/E11</f>
        <v>0.35089430720001713</v>
      </c>
      <c r="Q11" s="3">
        <f t="shared" ref="Q11:Q74" si="11">N11/E11</f>
        <v>0</v>
      </c>
    </row>
    <row r="12" spans="1:17">
      <c r="A12">
        <v>7</v>
      </c>
      <c r="B12" s="203"/>
      <c r="C12" s="11" t="s">
        <v>51</v>
      </c>
      <c r="D12" s="1" t="s">
        <v>18</v>
      </c>
      <c r="E12" s="1">
        <f>Anchoveta!H29+'Sardina comun'!H29</f>
        <v>16177.312</v>
      </c>
      <c r="F12" s="2">
        <f t="shared" si="6"/>
        <v>6470.9248000000007</v>
      </c>
      <c r="G12" s="78">
        <f>Anchoveta!I29</f>
        <v>6564.2730000000001</v>
      </c>
      <c r="H12" s="78">
        <f>'Sardina comun'!I29</f>
        <v>2742.5569999999998</v>
      </c>
      <c r="I12" s="78">
        <f t="shared" si="7"/>
        <v>9306.83</v>
      </c>
      <c r="J12" s="78">
        <f>Anchoveta!J29+'Sardina comun'!J29</f>
        <v>0</v>
      </c>
      <c r="K12" s="1">
        <f>Anchoveta!K29</f>
        <v>1038.0320000000002</v>
      </c>
      <c r="L12" s="1">
        <f>'Sardina comun'!K29</f>
        <v>5832.45</v>
      </c>
      <c r="M12" s="1">
        <f t="shared" si="8"/>
        <v>6870.482</v>
      </c>
      <c r="N12" s="23" t="str">
        <f t="shared" si="9"/>
        <v>0</v>
      </c>
      <c r="O12" s="30" t="s">
        <v>263</v>
      </c>
      <c r="P12" s="4">
        <f t="shared" si="10"/>
        <v>0.57530138505086625</v>
      </c>
      <c r="Q12" s="3">
        <f t="shared" si="11"/>
        <v>0</v>
      </c>
    </row>
    <row r="13" spans="1:17">
      <c r="A13">
        <v>8</v>
      </c>
      <c r="B13" s="203"/>
      <c r="C13" s="11" t="s">
        <v>52</v>
      </c>
      <c r="D13" s="1" t="s">
        <v>18</v>
      </c>
      <c r="E13" s="1">
        <f>Anchoveta!H30+'Sardina comun'!H30</f>
        <v>5295.08</v>
      </c>
      <c r="F13" s="2">
        <f t="shared" si="6"/>
        <v>2118.0320000000002</v>
      </c>
      <c r="G13" s="78">
        <f>Anchoveta!I30</f>
        <v>1661.049</v>
      </c>
      <c r="H13" s="78">
        <f>'Sardina comun'!I30</f>
        <v>525.14300000000003</v>
      </c>
      <c r="I13" s="78">
        <f t="shared" si="7"/>
        <v>2186.192</v>
      </c>
      <c r="J13" s="78">
        <f>Anchoveta!J30+'Sardina comun'!J30</f>
        <v>0</v>
      </c>
      <c r="K13" s="1">
        <f>Anchoveta!K30</f>
        <v>919.04700000000003</v>
      </c>
      <c r="L13" s="1">
        <f>'Sardina comun'!K30</f>
        <v>2189.8409999999999</v>
      </c>
      <c r="M13" s="1">
        <f t="shared" si="8"/>
        <v>3108.8879999999999</v>
      </c>
      <c r="N13" s="23" t="str">
        <f t="shared" si="9"/>
        <v>0</v>
      </c>
      <c r="O13" s="30" t="s">
        <v>263</v>
      </c>
      <c r="P13" s="4">
        <f t="shared" si="10"/>
        <v>0.41287232676371272</v>
      </c>
      <c r="Q13" s="3">
        <f t="shared" si="11"/>
        <v>0</v>
      </c>
    </row>
    <row r="14" spans="1:17">
      <c r="A14">
        <v>9</v>
      </c>
      <c r="B14" s="203"/>
      <c r="C14" s="11" t="s">
        <v>53</v>
      </c>
      <c r="D14" s="1" t="s">
        <v>18</v>
      </c>
      <c r="E14" s="1">
        <f>Anchoveta!H31+'Sardina comun'!H31</f>
        <v>6434.5149999999994</v>
      </c>
      <c r="F14" s="2">
        <f t="shared" si="6"/>
        <v>2573.806</v>
      </c>
      <c r="G14" s="78">
        <f>Anchoveta!I31</f>
        <v>439.71300000000002</v>
      </c>
      <c r="H14" s="78">
        <f>'Sardina comun'!I31</f>
        <v>441.46099999999996</v>
      </c>
      <c r="I14" s="78">
        <f t="shared" si="7"/>
        <v>881.17399999999998</v>
      </c>
      <c r="J14" s="78">
        <f>Anchoveta!J31+'Sardina comun'!J31</f>
        <v>0</v>
      </c>
      <c r="K14" s="1">
        <f>Anchoveta!K31</f>
        <v>2661.3269999999998</v>
      </c>
      <c r="L14" s="1">
        <f>'Sardina comun'!K31</f>
        <v>2892.0140000000001</v>
      </c>
      <c r="M14" s="1">
        <f t="shared" si="8"/>
        <v>5553.3410000000003</v>
      </c>
      <c r="N14" s="21" t="str">
        <f t="shared" si="9"/>
        <v>0</v>
      </c>
      <c r="O14" s="73" t="s">
        <v>263</v>
      </c>
      <c r="P14" s="4">
        <f t="shared" si="10"/>
        <v>0.13694489794491116</v>
      </c>
      <c r="Q14" s="3">
        <f t="shared" si="11"/>
        <v>0</v>
      </c>
    </row>
    <row r="15" spans="1:17">
      <c r="A15">
        <v>10</v>
      </c>
      <c r="B15" s="203"/>
      <c r="C15" s="11" t="s">
        <v>54</v>
      </c>
      <c r="D15" s="1" t="s">
        <v>18</v>
      </c>
      <c r="E15" s="1">
        <f>Anchoveta!H32+'Sardina comun'!H32</f>
        <v>530.577</v>
      </c>
      <c r="F15" s="2">
        <f t="shared" si="6"/>
        <v>212.23080000000002</v>
      </c>
      <c r="G15" s="78">
        <f>Anchoveta!I32</f>
        <v>53.231000000000002</v>
      </c>
      <c r="H15" s="78">
        <f>'Sardina comun'!I32</f>
        <v>239.93399999999997</v>
      </c>
      <c r="I15" s="78">
        <f t="shared" si="7"/>
        <v>293.16499999999996</v>
      </c>
      <c r="J15" s="78">
        <f>Anchoveta!J32+'Sardina comun'!J32</f>
        <v>0</v>
      </c>
      <c r="K15" s="1">
        <f>Anchoveta!K32</f>
        <v>202.47400000000002</v>
      </c>
      <c r="L15" s="1">
        <f>'Sardina comun'!K32</f>
        <v>34.938000000000045</v>
      </c>
      <c r="M15" s="1">
        <f t="shared" si="8"/>
        <v>237.41200000000006</v>
      </c>
      <c r="N15" s="23" t="str">
        <f t="shared" si="9"/>
        <v>0</v>
      </c>
      <c r="O15" s="73" t="s">
        <v>263</v>
      </c>
      <c r="P15" s="4">
        <f t="shared" si="10"/>
        <v>0.55253997063574178</v>
      </c>
      <c r="Q15" s="3">
        <f t="shared" si="11"/>
        <v>0</v>
      </c>
    </row>
    <row r="16" spans="1:17">
      <c r="A16">
        <v>11</v>
      </c>
      <c r="B16" s="203"/>
      <c r="C16" s="11" t="s">
        <v>321</v>
      </c>
      <c r="D16" s="1" t="s">
        <v>18</v>
      </c>
      <c r="E16" s="1">
        <f>Anchoveta!H33+'Sardina comun'!H33</f>
        <v>2119.3109999999997</v>
      </c>
      <c r="F16" s="2">
        <f t="shared" si="6"/>
        <v>847.72439999999995</v>
      </c>
      <c r="G16" s="78">
        <f>Anchoveta!I33</f>
        <v>751.09899999999993</v>
      </c>
      <c r="H16" s="78">
        <f>'Sardina comun'!I33</f>
        <v>306.01300000000003</v>
      </c>
      <c r="I16" s="78">
        <f t="shared" si="7"/>
        <v>1057.1120000000001</v>
      </c>
      <c r="J16" s="78">
        <f>Anchoveta!J33+'Sardina comun'!J33</f>
        <v>0</v>
      </c>
      <c r="K16" s="1">
        <f>Anchoveta!K33</f>
        <v>270.27800000000002</v>
      </c>
      <c r="L16" s="1">
        <f>'Sardina comun'!K33</f>
        <v>791.92099999999994</v>
      </c>
      <c r="M16" s="1">
        <f t="shared" si="8"/>
        <v>1062.1990000000001</v>
      </c>
      <c r="N16" s="23" t="str">
        <f t="shared" si="9"/>
        <v>0</v>
      </c>
      <c r="O16" s="30" t="s">
        <v>263</v>
      </c>
      <c r="P16" s="4">
        <f t="shared" si="10"/>
        <v>0.49879984579894138</v>
      </c>
      <c r="Q16" s="3">
        <f t="shared" si="11"/>
        <v>0</v>
      </c>
    </row>
    <row r="17" spans="1:17">
      <c r="A17">
        <v>12</v>
      </c>
      <c r="B17" s="203"/>
      <c r="C17" s="11" t="s">
        <v>55</v>
      </c>
      <c r="D17" s="1" t="s">
        <v>18</v>
      </c>
      <c r="E17" s="1">
        <f>Anchoveta!H34+'Sardina comun'!H34</f>
        <v>5034.0149999999994</v>
      </c>
      <c r="F17" s="2">
        <f t="shared" si="6"/>
        <v>2013.6059999999998</v>
      </c>
      <c r="G17" s="78">
        <f>Anchoveta!I34</f>
        <v>1358.3249999999998</v>
      </c>
      <c r="H17" s="78">
        <f>'Sardina comun'!I34</f>
        <v>724.23500000000001</v>
      </c>
      <c r="I17" s="78">
        <f t="shared" si="7"/>
        <v>2082.56</v>
      </c>
      <c r="J17" s="78">
        <f>Anchoveta!J34+'Sardina comun'!J34</f>
        <v>0</v>
      </c>
      <c r="K17" s="1">
        <f>Anchoveta!K34</f>
        <v>1113.2440000000001</v>
      </c>
      <c r="L17" s="1">
        <f>'Sardina comun'!K34</f>
        <v>1838.2109999999998</v>
      </c>
      <c r="M17" s="1">
        <f t="shared" si="8"/>
        <v>2951.4549999999999</v>
      </c>
      <c r="N17" s="23" t="str">
        <f t="shared" si="9"/>
        <v>0</v>
      </c>
      <c r="O17" s="30" t="s">
        <v>263</v>
      </c>
      <c r="P17" s="4">
        <f t="shared" si="10"/>
        <v>0.41369761512430936</v>
      </c>
      <c r="Q17" s="3">
        <f t="shared" si="11"/>
        <v>0</v>
      </c>
    </row>
    <row r="18" spans="1:17">
      <c r="A18">
        <v>13</v>
      </c>
      <c r="B18" s="203"/>
      <c r="C18" s="11" t="s">
        <v>258</v>
      </c>
      <c r="D18" s="1" t="s">
        <v>18</v>
      </c>
      <c r="E18" s="1">
        <f>Anchoveta!H35+'Sardina comun'!H35</f>
        <v>8602.3009999999995</v>
      </c>
      <c r="F18" s="2">
        <f t="shared" si="6"/>
        <v>3440.9204</v>
      </c>
      <c r="G18" s="78">
        <f>Anchoveta!I35</f>
        <v>1798.674</v>
      </c>
      <c r="H18" s="78">
        <f>'Sardina comun'!I35</f>
        <v>555.0809999999999</v>
      </c>
      <c r="I18" s="78">
        <f t="shared" si="7"/>
        <v>2353.7550000000001</v>
      </c>
      <c r="J18" s="78">
        <f>Anchoveta!J35+'Sardina comun'!J35</f>
        <v>0</v>
      </c>
      <c r="K18" s="1">
        <f>Anchoveta!K35</f>
        <v>2257.1460000000002</v>
      </c>
      <c r="L18" s="1">
        <f>'Sardina comun'!K35</f>
        <v>3991.3999999999996</v>
      </c>
      <c r="M18" s="1">
        <f t="shared" si="8"/>
        <v>6248.5460000000003</v>
      </c>
      <c r="N18" s="21" t="str">
        <f t="shared" si="9"/>
        <v>0</v>
      </c>
      <c r="O18" s="73" t="s">
        <v>263</v>
      </c>
      <c r="P18" s="4">
        <f t="shared" si="10"/>
        <v>0.2736192328075942</v>
      </c>
      <c r="Q18" s="3">
        <f t="shared" si="11"/>
        <v>0</v>
      </c>
    </row>
    <row r="19" spans="1:17">
      <c r="A19">
        <v>14</v>
      </c>
      <c r="B19" s="203"/>
      <c r="C19" s="11" t="s">
        <v>174</v>
      </c>
      <c r="D19" s="1" t="s">
        <v>18</v>
      </c>
      <c r="E19" s="1">
        <f>Anchoveta!H36+'Sardina comun'!H36</f>
        <v>6328.0460000000003</v>
      </c>
      <c r="F19" s="2">
        <f t="shared" si="6"/>
        <v>2531.2184000000002</v>
      </c>
      <c r="G19" s="78">
        <f>Anchoveta!I36</f>
        <v>1540.1290000000001</v>
      </c>
      <c r="H19" s="78">
        <f>'Sardina comun'!I36</f>
        <v>334.226</v>
      </c>
      <c r="I19" s="78">
        <f t="shared" si="7"/>
        <v>1874.355</v>
      </c>
      <c r="J19" s="78">
        <f>Anchoveta!J36+'Sardina comun'!J36</f>
        <v>0</v>
      </c>
      <c r="K19" s="1">
        <f>Anchoveta!K36</f>
        <v>1401.617</v>
      </c>
      <c r="L19" s="1">
        <f>'Sardina comun'!K36</f>
        <v>3052.0740000000001</v>
      </c>
      <c r="M19" s="1">
        <f t="shared" si="8"/>
        <v>4453.6909999999998</v>
      </c>
      <c r="N19" s="23" t="str">
        <f t="shared" si="9"/>
        <v>0</v>
      </c>
      <c r="O19" s="73" t="s">
        <v>263</v>
      </c>
      <c r="P19" s="4">
        <f t="shared" si="10"/>
        <v>0.29619806809242538</v>
      </c>
      <c r="Q19" s="3">
        <f t="shared" si="11"/>
        <v>0</v>
      </c>
    </row>
    <row r="20" spans="1:17">
      <c r="A20">
        <v>15</v>
      </c>
      <c r="B20" s="203"/>
      <c r="C20" s="11" t="s">
        <v>259</v>
      </c>
      <c r="D20" s="1" t="s">
        <v>18</v>
      </c>
      <c r="E20" s="1">
        <f>Anchoveta!H37+'Sardina comun'!H37</f>
        <v>4210.2880000000005</v>
      </c>
      <c r="F20" s="2">
        <f t="shared" si="6"/>
        <v>1684.1152000000002</v>
      </c>
      <c r="G20" s="78">
        <f>Anchoveta!I37</f>
        <v>1347.403</v>
      </c>
      <c r="H20" s="78">
        <f>'Sardina comun'!I37</f>
        <v>845.55000000000007</v>
      </c>
      <c r="I20" s="78">
        <f t="shared" si="7"/>
        <v>2192.953</v>
      </c>
      <c r="J20" s="78">
        <f>Anchoveta!J37+'Sardina comun'!J37</f>
        <v>0</v>
      </c>
      <c r="K20" s="1">
        <f>Anchoveta!K37</f>
        <v>609.327</v>
      </c>
      <c r="L20" s="1">
        <f>'Sardina comun'!K37</f>
        <v>1408.0079999999998</v>
      </c>
      <c r="M20" s="1">
        <f t="shared" si="8"/>
        <v>2017.3349999999998</v>
      </c>
      <c r="N20" s="23" t="str">
        <f t="shared" si="9"/>
        <v>0</v>
      </c>
      <c r="O20" s="30" t="s">
        <v>263</v>
      </c>
      <c r="P20" s="4">
        <f t="shared" si="10"/>
        <v>0.52085581793929525</v>
      </c>
      <c r="Q20" s="3">
        <f t="shared" si="11"/>
        <v>0</v>
      </c>
    </row>
    <row r="21" spans="1:17">
      <c r="A21">
        <v>16</v>
      </c>
      <c r="B21" s="203"/>
      <c r="C21" s="11" t="s">
        <v>260</v>
      </c>
      <c r="D21" s="1" t="s">
        <v>18</v>
      </c>
      <c r="E21" s="1">
        <f>Anchoveta!H38+'Sardina comun'!H38</f>
        <v>4889.1810000000005</v>
      </c>
      <c r="F21" s="2">
        <f t="shared" si="6"/>
        <v>1955.6724000000004</v>
      </c>
      <c r="G21" s="78">
        <f>Anchoveta!I38</f>
        <v>2267.672</v>
      </c>
      <c r="H21" s="78">
        <f>'Sardina comun'!I38</f>
        <v>1023.668</v>
      </c>
      <c r="I21" s="78">
        <f t="shared" si="7"/>
        <v>3291.34</v>
      </c>
      <c r="J21" s="78">
        <f>Anchoveta!J38+'Sardina comun'!J38</f>
        <v>0</v>
      </c>
      <c r="K21" s="1">
        <f>Anchoveta!K38</f>
        <v>-198.05200000000013</v>
      </c>
      <c r="L21" s="1">
        <f>'Sardina comun'!K38</f>
        <v>1795.893</v>
      </c>
      <c r="M21" s="1">
        <f t="shared" si="8"/>
        <v>1597.8409999999999</v>
      </c>
      <c r="N21" s="23">
        <f t="shared" si="9"/>
        <v>-198.05200000000013</v>
      </c>
      <c r="O21" s="30" t="s">
        <v>263</v>
      </c>
      <c r="P21" s="4">
        <f t="shared" si="10"/>
        <v>0.67318841335593826</v>
      </c>
      <c r="Q21" s="3">
        <f t="shared" si="11"/>
        <v>-4.0508215997730523E-2</v>
      </c>
    </row>
    <row r="22" spans="1:17">
      <c r="A22">
        <v>17</v>
      </c>
      <c r="B22" s="203"/>
      <c r="C22" s="11" t="s">
        <v>56</v>
      </c>
      <c r="D22" s="1" t="s">
        <v>18</v>
      </c>
      <c r="E22" s="1">
        <f>Anchoveta!H39+'Sardina comun'!H39</f>
        <v>1255.367</v>
      </c>
      <c r="F22" s="2">
        <f t="shared" si="6"/>
        <v>502.14679999999998</v>
      </c>
      <c r="G22" s="78">
        <f>Anchoveta!I39</f>
        <v>179.97699999999995</v>
      </c>
      <c r="H22" s="78">
        <f>'Sardina comun'!I39</f>
        <v>183.88200000000001</v>
      </c>
      <c r="I22" s="78">
        <f t="shared" si="7"/>
        <v>363.85899999999992</v>
      </c>
      <c r="J22" s="78">
        <f>Anchoveta!J39+'Sardina comun'!J39</f>
        <v>0</v>
      </c>
      <c r="K22" s="1">
        <f>Anchoveta!K39</f>
        <v>469.61400000000003</v>
      </c>
      <c r="L22" s="1">
        <f>'Sardina comun'!K39</f>
        <v>421.89399999999995</v>
      </c>
      <c r="M22" s="1">
        <f t="shared" si="8"/>
        <v>891.50800000000004</v>
      </c>
      <c r="N22" s="21" t="str">
        <f t="shared" si="9"/>
        <v>0</v>
      </c>
      <c r="O22" s="73" t="s">
        <v>263</v>
      </c>
      <c r="P22" s="4">
        <f t="shared" si="10"/>
        <v>0.28984273124910875</v>
      </c>
      <c r="Q22" s="3">
        <f t="shared" si="11"/>
        <v>0</v>
      </c>
    </row>
    <row r="23" spans="1:17">
      <c r="A23">
        <v>18</v>
      </c>
      <c r="B23" s="203"/>
      <c r="C23" s="11" t="s">
        <v>247</v>
      </c>
      <c r="D23" s="1" t="s">
        <v>18</v>
      </c>
      <c r="E23" s="1">
        <f>Anchoveta!H40+'Sardina comun'!H40</f>
        <v>3145.627</v>
      </c>
      <c r="F23" s="2">
        <f t="shared" si="6"/>
        <v>1258.2508</v>
      </c>
      <c r="G23" s="78">
        <f>Anchoveta!I40</f>
        <v>822.18700000000001</v>
      </c>
      <c r="H23" s="78">
        <f>'Sardina comun'!I40</f>
        <v>628.99900000000002</v>
      </c>
      <c r="I23" s="78">
        <f t="shared" si="7"/>
        <v>1451.1860000000001</v>
      </c>
      <c r="J23" s="78">
        <f>Anchoveta!J40+'Sardina comun'!J40</f>
        <v>0</v>
      </c>
      <c r="K23" s="1">
        <f>Anchoveta!K40</f>
        <v>783.02100000000007</v>
      </c>
      <c r="L23" s="1">
        <f>'Sardina comun'!K40</f>
        <v>911.41999999999985</v>
      </c>
      <c r="M23" s="1">
        <f t="shared" si="8"/>
        <v>1694.4409999999998</v>
      </c>
      <c r="N23" s="23" t="str">
        <f t="shared" si="9"/>
        <v>0</v>
      </c>
      <c r="O23" s="73" t="s">
        <v>263</v>
      </c>
      <c r="P23" s="4">
        <f t="shared" si="10"/>
        <v>0.46133441758987959</v>
      </c>
      <c r="Q23" s="3">
        <f t="shared" si="11"/>
        <v>0</v>
      </c>
    </row>
    <row r="24" spans="1:17">
      <c r="A24">
        <v>19</v>
      </c>
      <c r="B24" s="203"/>
      <c r="C24" s="11" t="s">
        <v>57</v>
      </c>
      <c r="D24" s="1" t="s">
        <v>18</v>
      </c>
      <c r="E24" s="1">
        <f>Anchoveta!H41+'Sardina comun'!H41</f>
        <v>101.962</v>
      </c>
      <c r="F24" s="2">
        <f t="shared" si="6"/>
        <v>40.784800000000004</v>
      </c>
      <c r="G24" s="78">
        <f>Anchoveta!I41</f>
        <v>26.437000000000001</v>
      </c>
      <c r="H24" s="78">
        <f>'Sardina comun'!I41</f>
        <v>62.606999999999999</v>
      </c>
      <c r="I24" s="78">
        <f t="shared" si="7"/>
        <v>89.043999999999997</v>
      </c>
      <c r="J24" s="78">
        <f>Anchoveta!J41+'Sardina comun'!J41</f>
        <v>0</v>
      </c>
      <c r="K24" s="1">
        <f>Anchoveta!K41</f>
        <v>22.702000000000002</v>
      </c>
      <c r="L24" s="1">
        <f>'Sardina comun'!K41</f>
        <v>-9.7839999999999989</v>
      </c>
      <c r="M24" s="1">
        <f t="shared" si="8"/>
        <v>12.918000000000003</v>
      </c>
      <c r="N24" s="23">
        <f t="shared" si="9"/>
        <v>-9.7839999999999989</v>
      </c>
      <c r="O24" s="30" t="s">
        <v>263</v>
      </c>
      <c r="P24" s="4">
        <f t="shared" si="10"/>
        <v>0.87330574135462224</v>
      </c>
      <c r="Q24" s="3">
        <f t="shared" si="11"/>
        <v>-9.5957317431984449E-2</v>
      </c>
    </row>
    <row r="25" spans="1:17">
      <c r="A25">
        <v>20</v>
      </c>
      <c r="B25" s="203"/>
      <c r="C25" s="11" t="s">
        <v>58</v>
      </c>
      <c r="D25" s="1" t="s">
        <v>18</v>
      </c>
      <c r="E25" s="1">
        <f>Anchoveta!H42+'Sardina comun'!H42</f>
        <v>42619.582999999999</v>
      </c>
      <c r="F25" s="2">
        <f t="shared" si="6"/>
        <v>17047.833200000001</v>
      </c>
      <c r="G25" s="78">
        <f>Anchoveta!I42</f>
        <v>13283.222000000002</v>
      </c>
      <c r="H25" s="78">
        <f>'Sardina comun'!I42</f>
        <v>9391.1929999999993</v>
      </c>
      <c r="I25" s="78">
        <f t="shared" si="7"/>
        <v>22674.415000000001</v>
      </c>
      <c r="J25" s="78">
        <f>Anchoveta!J42+'Sardina comun'!J42</f>
        <v>0</v>
      </c>
      <c r="K25" s="1">
        <f>Anchoveta!K42</f>
        <v>6840.3799999999974</v>
      </c>
      <c r="L25" s="1">
        <f>'Sardina comun'!K42</f>
        <v>13104.788</v>
      </c>
      <c r="M25" s="1">
        <f t="shared" si="8"/>
        <v>19945.167999999998</v>
      </c>
      <c r="N25" s="23" t="str">
        <f t="shared" si="9"/>
        <v>0</v>
      </c>
      <c r="O25" s="30" t="s">
        <v>263</v>
      </c>
      <c r="P25" s="4">
        <f t="shared" si="10"/>
        <v>0.53201869666345636</v>
      </c>
      <c r="Q25" s="3">
        <f t="shared" si="11"/>
        <v>0</v>
      </c>
    </row>
    <row r="26" spans="1:17">
      <c r="A26">
        <v>21</v>
      </c>
      <c r="B26" s="203"/>
      <c r="C26" s="11" t="s">
        <v>59</v>
      </c>
      <c r="D26" s="1" t="s">
        <v>18</v>
      </c>
      <c r="E26" s="1">
        <f>Anchoveta!H43+'Sardina comun'!H43</f>
        <v>389.99400000000003</v>
      </c>
      <c r="F26" s="2">
        <f t="shared" si="6"/>
        <v>155.99760000000003</v>
      </c>
      <c r="G26" s="78">
        <f>Anchoveta!I43</f>
        <v>73.931000000000012</v>
      </c>
      <c r="H26" s="78">
        <f>'Sardina comun'!I43</f>
        <v>164.334</v>
      </c>
      <c r="I26" s="78">
        <f t="shared" si="7"/>
        <v>238.26500000000001</v>
      </c>
      <c r="J26" s="78">
        <f>Anchoveta!J43+'Sardina comun'!J43</f>
        <v>0</v>
      </c>
      <c r="K26" s="1">
        <f>Anchoveta!K43</f>
        <v>114.02199999999999</v>
      </c>
      <c r="L26" s="1">
        <f>'Sardina comun'!K43</f>
        <v>37.706999999999994</v>
      </c>
      <c r="M26" s="1">
        <f t="shared" si="8"/>
        <v>151.72899999999998</v>
      </c>
      <c r="N26" s="21" t="str">
        <f t="shared" si="9"/>
        <v>0</v>
      </c>
      <c r="O26" s="73" t="s">
        <v>263</v>
      </c>
      <c r="P26" s="4">
        <f t="shared" si="10"/>
        <v>0.61094529659430652</v>
      </c>
      <c r="Q26" s="3">
        <f t="shared" si="11"/>
        <v>0</v>
      </c>
    </row>
    <row r="27" spans="1:17">
      <c r="A27">
        <v>22</v>
      </c>
      <c r="B27" s="203"/>
      <c r="C27" s="11" t="s">
        <v>60</v>
      </c>
      <c r="D27" s="1" t="s">
        <v>18</v>
      </c>
      <c r="E27" s="1">
        <f>Anchoveta!H44+'Sardina comun'!H44</f>
        <v>6185.0370000000003</v>
      </c>
      <c r="F27" s="2">
        <f t="shared" si="6"/>
        <v>2474.0148000000004</v>
      </c>
      <c r="G27" s="78">
        <f>Anchoveta!I44</f>
        <v>670.15300000000013</v>
      </c>
      <c r="H27" s="78">
        <f>'Sardina comun'!I44</f>
        <v>882.68700000000013</v>
      </c>
      <c r="I27" s="78">
        <f t="shared" si="7"/>
        <v>1552.8400000000001</v>
      </c>
      <c r="J27" s="78">
        <f>Anchoveta!J44+'Sardina comun'!J44</f>
        <v>0</v>
      </c>
      <c r="K27" s="1">
        <f>Anchoveta!K44</f>
        <v>2590.7859999999996</v>
      </c>
      <c r="L27" s="1">
        <f>'Sardina comun'!K44</f>
        <v>2041.4109999999998</v>
      </c>
      <c r="M27" s="1">
        <f t="shared" si="8"/>
        <v>4632.1969999999992</v>
      </c>
      <c r="N27" s="23" t="str">
        <f t="shared" si="9"/>
        <v>0</v>
      </c>
      <c r="O27" s="73" t="s">
        <v>263</v>
      </c>
      <c r="P27" s="4">
        <f t="shared" si="10"/>
        <v>0.25106397908371447</v>
      </c>
      <c r="Q27" s="3">
        <f t="shared" si="11"/>
        <v>0</v>
      </c>
    </row>
    <row r="28" spans="1:17">
      <c r="A28">
        <v>23</v>
      </c>
      <c r="B28" s="203"/>
      <c r="C28" s="11" t="s">
        <v>61</v>
      </c>
      <c r="D28" s="1" t="s">
        <v>18</v>
      </c>
      <c r="E28" s="1">
        <f>Anchoveta!H45+'Sardina comun'!H45</f>
        <v>4103.1059999999998</v>
      </c>
      <c r="F28" s="2">
        <f t="shared" si="6"/>
        <v>1641.2424000000001</v>
      </c>
      <c r="G28" s="78">
        <f>Anchoveta!I45</f>
        <v>933.90499999999997</v>
      </c>
      <c r="H28" s="78">
        <f>'Sardina comun'!I45</f>
        <v>363.72199999999992</v>
      </c>
      <c r="I28" s="78">
        <f t="shared" si="7"/>
        <v>1297.627</v>
      </c>
      <c r="J28" s="78">
        <f>Anchoveta!J45+'Sardina comun'!J45</f>
        <v>0</v>
      </c>
      <c r="K28" s="1">
        <f>Anchoveta!K45</f>
        <v>1043.539</v>
      </c>
      <c r="L28" s="1">
        <f>'Sardina comun'!K45</f>
        <v>1761.9399999999998</v>
      </c>
      <c r="M28" s="1">
        <f t="shared" si="8"/>
        <v>2805.4789999999998</v>
      </c>
      <c r="N28" s="23" t="str">
        <f t="shared" si="9"/>
        <v>0</v>
      </c>
      <c r="O28" s="30" t="s">
        <v>263</v>
      </c>
      <c r="P28" s="4">
        <f t="shared" si="10"/>
        <v>0.31625480794305583</v>
      </c>
      <c r="Q28" s="3">
        <f t="shared" si="11"/>
        <v>0</v>
      </c>
    </row>
    <row r="29" spans="1:17">
      <c r="A29">
        <v>24</v>
      </c>
      <c r="B29" s="203"/>
      <c r="C29" s="11" t="s">
        <v>62</v>
      </c>
      <c r="D29" s="1" t="s">
        <v>18</v>
      </c>
      <c r="E29" s="1">
        <f>Anchoveta!H46+'Sardina comun'!H46</f>
        <v>3893.268</v>
      </c>
      <c r="F29" s="2">
        <f t="shared" si="6"/>
        <v>1557.3072000000002</v>
      </c>
      <c r="G29" s="78">
        <f>Anchoveta!I46</f>
        <v>504.25700000000001</v>
      </c>
      <c r="H29" s="78">
        <f>'Sardina comun'!I46</f>
        <v>251.792</v>
      </c>
      <c r="I29" s="78">
        <f t="shared" si="7"/>
        <v>756.04899999999998</v>
      </c>
      <c r="J29" s="78">
        <f>Anchoveta!J46+'Sardina comun'!J46</f>
        <v>0</v>
      </c>
      <c r="K29" s="1">
        <f>Anchoveta!K46</f>
        <v>1372.058</v>
      </c>
      <c r="L29" s="1">
        <f>'Sardina comun'!K46</f>
        <v>1765.1610000000001</v>
      </c>
      <c r="M29" s="1">
        <f t="shared" si="8"/>
        <v>3137.2190000000001</v>
      </c>
      <c r="N29" s="23" t="str">
        <f t="shared" si="9"/>
        <v>0</v>
      </c>
      <c r="O29" s="30" t="s">
        <v>263</v>
      </c>
      <c r="P29" s="4">
        <f t="shared" si="10"/>
        <v>0.194193926541918</v>
      </c>
      <c r="Q29" s="3">
        <f t="shared" si="11"/>
        <v>0</v>
      </c>
    </row>
    <row r="30" spans="1:17">
      <c r="A30">
        <v>25</v>
      </c>
      <c r="B30" s="203"/>
      <c r="C30" s="11" t="s">
        <v>173</v>
      </c>
      <c r="D30" s="1" t="s">
        <v>18</v>
      </c>
      <c r="E30" s="1">
        <f>Anchoveta!H47+'Sardina comun'!H47</f>
        <v>8668.0349999999999</v>
      </c>
      <c r="F30" s="2">
        <f t="shared" si="6"/>
        <v>3467.2139999999999</v>
      </c>
      <c r="G30" s="78">
        <f>Anchoveta!I47</f>
        <v>1933.575</v>
      </c>
      <c r="H30" s="78">
        <f>'Sardina comun'!I47</f>
        <v>757.58199999999988</v>
      </c>
      <c r="I30" s="78">
        <f t="shared" si="7"/>
        <v>2691.1570000000002</v>
      </c>
      <c r="J30" s="78">
        <f>Anchoveta!J47+'Sardina comun'!J47</f>
        <v>0</v>
      </c>
      <c r="K30" s="1">
        <f>Anchoveta!K47</f>
        <v>2243.884</v>
      </c>
      <c r="L30" s="1">
        <f>'Sardina comun'!K47</f>
        <v>3732.9940000000001</v>
      </c>
      <c r="M30" s="1">
        <f t="shared" si="8"/>
        <v>5976.8780000000006</v>
      </c>
      <c r="N30" s="21" t="str">
        <f t="shared" si="9"/>
        <v>0</v>
      </c>
      <c r="O30" s="73" t="s">
        <v>263</v>
      </c>
      <c r="P30" s="4">
        <f t="shared" si="10"/>
        <v>0.31046909709063242</v>
      </c>
      <c r="Q30" s="3">
        <f t="shared" si="11"/>
        <v>0</v>
      </c>
    </row>
    <row r="31" spans="1:17">
      <c r="A31">
        <v>26</v>
      </c>
      <c r="B31" s="203"/>
      <c r="C31" s="11" t="s">
        <v>63</v>
      </c>
      <c r="D31" s="1" t="s">
        <v>18</v>
      </c>
      <c r="E31" s="1">
        <f>Anchoveta!H48+'Sardina comun'!H48</f>
        <v>6176.6720000000005</v>
      </c>
      <c r="F31" s="2">
        <f t="shared" si="6"/>
        <v>2470.6688000000004</v>
      </c>
      <c r="G31" s="78">
        <f>Anchoveta!I48</f>
        <v>1837.3560000000004</v>
      </c>
      <c r="H31" s="78">
        <f>'Sardina comun'!I48</f>
        <v>668.32500000000005</v>
      </c>
      <c r="I31" s="78">
        <f t="shared" si="7"/>
        <v>2505.6810000000005</v>
      </c>
      <c r="J31" s="78">
        <f>Anchoveta!J48+'Sardina comun'!J48</f>
        <v>0</v>
      </c>
      <c r="K31" s="1">
        <f>Anchoveta!K48</f>
        <v>1139.4189999999996</v>
      </c>
      <c r="L31" s="1">
        <f>'Sardina comun'!K48</f>
        <v>2531.5720000000001</v>
      </c>
      <c r="M31" s="1">
        <f t="shared" si="8"/>
        <v>3670.991</v>
      </c>
      <c r="N31" s="23" t="str">
        <f t="shared" si="9"/>
        <v>0</v>
      </c>
      <c r="O31" s="73" t="s">
        <v>263</v>
      </c>
      <c r="P31" s="4">
        <f t="shared" si="10"/>
        <v>0.4056684570590765</v>
      </c>
      <c r="Q31" s="3">
        <f t="shared" si="11"/>
        <v>0</v>
      </c>
    </row>
    <row r="32" spans="1:17">
      <c r="A32">
        <v>27</v>
      </c>
      <c r="B32" s="203"/>
      <c r="C32" s="11" t="s">
        <v>64</v>
      </c>
      <c r="D32" s="1" t="s">
        <v>18</v>
      </c>
      <c r="E32" s="1">
        <f>Anchoveta!H49+'Sardina comun'!H49</f>
        <v>5329.2430000000004</v>
      </c>
      <c r="F32" s="2">
        <f t="shared" si="6"/>
        <v>2131.6972000000001</v>
      </c>
      <c r="G32" s="78">
        <f>Anchoveta!I49</f>
        <v>1567.7820000000002</v>
      </c>
      <c r="H32" s="78">
        <f>'Sardina comun'!I49</f>
        <v>486.91700000000003</v>
      </c>
      <c r="I32" s="78">
        <f t="shared" si="7"/>
        <v>2054.6990000000001</v>
      </c>
      <c r="J32" s="78">
        <f>Anchoveta!J49+'Sardina comun'!J49</f>
        <v>0</v>
      </c>
      <c r="K32" s="1">
        <f>Anchoveta!K49</f>
        <v>1000.585</v>
      </c>
      <c r="L32" s="1">
        <f>'Sardina comun'!K49</f>
        <v>2273.9590000000003</v>
      </c>
      <c r="M32" s="1">
        <f t="shared" si="8"/>
        <v>3274.5440000000003</v>
      </c>
      <c r="N32" s="23" t="str">
        <f t="shared" si="9"/>
        <v>0</v>
      </c>
      <c r="O32" s="30" t="s">
        <v>263</v>
      </c>
      <c r="P32" s="4">
        <f t="shared" si="10"/>
        <v>0.38555175660032764</v>
      </c>
      <c r="Q32" s="3">
        <f t="shared" si="11"/>
        <v>0</v>
      </c>
    </row>
    <row r="33" spans="1:17">
      <c r="A33">
        <v>28</v>
      </c>
      <c r="B33" s="203"/>
      <c r="C33" s="11" t="s">
        <v>342</v>
      </c>
      <c r="D33" s="1" t="s">
        <v>18</v>
      </c>
      <c r="E33" s="1">
        <f>Anchoveta!H50+'Sardina comun'!H50</f>
        <v>816.27299999999991</v>
      </c>
      <c r="F33" s="2">
        <f t="shared" si="6"/>
        <v>326.50919999999996</v>
      </c>
      <c r="G33" s="78">
        <f>Anchoveta!I50</f>
        <v>10.430999999999999</v>
      </c>
      <c r="H33" s="78">
        <f>'Sardina comun'!I50</f>
        <v>0</v>
      </c>
      <c r="I33" s="78">
        <f t="shared" si="7"/>
        <v>10.430999999999999</v>
      </c>
      <c r="J33" s="78">
        <f>Anchoveta!J50+'Sardina comun'!J50</f>
        <v>0</v>
      </c>
      <c r="K33" s="1">
        <f>Anchoveta!K50</f>
        <v>382.96199999999999</v>
      </c>
      <c r="L33" s="1">
        <f>'Sardina comun'!K50</f>
        <v>422.88</v>
      </c>
      <c r="M33" s="1">
        <f t="shared" si="8"/>
        <v>805.84199999999998</v>
      </c>
      <c r="N33" s="23" t="str">
        <f t="shared" si="9"/>
        <v>0</v>
      </c>
      <c r="O33" s="30" t="s">
        <v>263</v>
      </c>
      <c r="P33" s="4">
        <f t="shared" si="10"/>
        <v>1.2778812970660551E-2</v>
      </c>
      <c r="Q33" s="3">
        <f t="shared" si="11"/>
        <v>0</v>
      </c>
    </row>
    <row r="34" spans="1:17">
      <c r="A34">
        <v>29</v>
      </c>
      <c r="B34" s="203"/>
      <c r="C34" s="11" t="s">
        <v>65</v>
      </c>
      <c r="D34" s="1" t="s">
        <v>18</v>
      </c>
      <c r="E34" s="1">
        <f>Anchoveta!H51+'Sardina comun'!H51</f>
        <v>3735.511</v>
      </c>
      <c r="F34" s="2">
        <f t="shared" si="6"/>
        <v>1494.2044000000001</v>
      </c>
      <c r="G34" s="78">
        <f>Anchoveta!I51</f>
        <v>237.18599999999998</v>
      </c>
      <c r="H34" s="78">
        <f>'Sardina comun'!I51</f>
        <v>285.30200000000002</v>
      </c>
      <c r="I34" s="78">
        <f t="shared" si="7"/>
        <v>522.48800000000006</v>
      </c>
      <c r="J34" s="78">
        <f>Anchoveta!J51+'Sardina comun'!J51</f>
        <v>0</v>
      </c>
      <c r="K34" s="1">
        <f>Anchoveta!K51</f>
        <v>1563.1000000000001</v>
      </c>
      <c r="L34" s="1">
        <f>'Sardina comun'!K51</f>
        <v>1649.9229999999998</v>
      </c>
      <c r="M34" s="1">
        <f t="shared" si="8"/>
        <v>3213.0230000000001</v>
      </c>
      <c r="N34" s="21" t="str">
        <f t="shared" si="9"/>
        <v>0</v>
      </c>
      <c r="O34" s="73" t="s">
        <v>263</v>
      </c>
      <c r="P34" s="4">
        <f t="shared" si="10"/>
        <v>0.13987055586237065</v>
      </c>
      <c r="Q34" s="3">
        <f t="shared" si="11"/>
        <v>0</v>
      </c>
    </row>
    <row r="35" spans="1:17">
      <c r="A35">
        <v>30</v>
      </c>
      <c r="B35" s="203"/>
      <c r="C35" s="11" t="s">
        <v>66</v>
      </c>
      <c r="D35" s="1" t="s">
        <v>18</v>
      </c>
      <c r="E35" s="1">
        <f>Anchoveta!H52+'Sardina comun'!H52</f>
        <v>29.069999999999993</v>
      </c>
      <c r="F35" s="2">
        <f t="shared" si="6"/>
        <v>11.627999999999998</v>
      </c>
      <c r="G35" s="78">
        <f>Anchoveta!I52</f>
        <v>0</v>
      </c>
      <c r="H35" s="78">
        <f>'Sardina comun'!I52</f>
        <v>0</v>
      </c>
      <c r="I35" s="78">
        <f t="shared" si="7"/>
        <v>0</v>
      </c>
      <c r="J35" s="78">
        <f>Anchoveta!J52+'Sardina comun'!J52</f>
        <v>0</v>
      </c>
      <c r="K35" s="1">
        <f>Anchoveta!K52</f>
        <v>27.134999999999991</v>
      </c>
      <c r="L35" s="1">
        <f>'Sardina comun'!K52</f>
        <v>1.9350000000000023</v>
      </c>
      <c r="M35" s="1">
        <f t="shared" si="8"/>
        <v>29.069999999999993</v>
      </c>
      <c r="N35" s="23" t="str">
        <f t="shared" si="9"/>
        <v>0</v>
      </c>
      <c r="O35" s="73" t="s">
        <v>263</v>
      </c>
      <c r="P35" s="4">
        <f t="shared" si="10"/>
        <v>0</v>
      </c>
      <c r="Q35" s="3">
        <f t="shared" si="11"/>
        <v>0</v>
      </c>
    </row>
    <row r="36" spans="1:17">
      <c r="A36">
        <v>31</v>
      </c>
      <c r="B36" s="203"/>
      <c r="C36" s="11" t="s">
        <v>67</v>
      </c>
      <c r="D36" s="1" t="s">
        <v>18</v>
      </c>
      <c r="E36" s="1">
        <f>Anchoveta!H53+'Sardina comun'!H53</f>
        <v>5016.5640000000003</v>
      </c>
      <c r="F36" s="2">
        <f t="shared" si="6"/>
        <v>2006.6256000000003</v>
      </c>
      <c r="G36" s="78">
        <f>Anchoveta!I53</f>
        <v>273.94499999999999</v>
      </c>
      <c r="H36" s="78">
        <f>'Sardina comun'!I53</f>
        <v>203.96299999999997</v>
      </c>
      <c r="I36" s="78">
        <f t="shared" si="7"/>
        <v>477.90799999999996</v>
      </c>
      <c r="J36" s="78">
        <f>Anchoveta!J53+'Sardina comun'!J53</f>
        <v>0</v>
      </c>
      <c r="K36" s="1">
        <f>Anchoveta!K53</f>
        <v>2242.056</v>
      </c>
      <c r="L36" s="1">
        <f>'Sardina comun'!K53</f>
        <v>2296.6000000000004</v>
      </c>
      <c r="M36" s="1">
        <f t="shared" si="8"/>
        <v>4538.6560000000009</v>
      </c>
      <c r="N36" s="23" t="str">
        <f t="shared" si="9"/>
        <v>0</v>
      </c>
      <c r="O36" s="30" t="s">
        <v>263</v>
      </c>
      <c r="P36" s="4">
        <f t="shared" si="10"/>
        <v>9.5266002785970624E-2</v>
      </c>
      <c r="Q36" s="3">
        <f t="shared" si="11"/>
        <v>0</v>
      </c>
    </row>
    <row r="37" spans="1:17">
      <c r="A37">
        <v>32</v>
      </c>
      <c r="B37" s="203"/>
      <c r="C37" s="11" t="s">
        <v>68</v>
      </c>
      <c r="D37" s="1" t="s">
        <v>18</v>
      </c>
      <c r="E37" s="1">
        <f>Anchoveta!H54+'Sardina comun'!H54</f>
        <v>5181.2649999999994</v>
      </c>
      <c r="F37" s="2">
        <f t="shared" si="6"/>
        <v>2072.5059999999999</v>
      </c>
      <c r="G37" s="78">
        <f>Anchoveta!I54</f>
        <v>1021.3339999999999</v>
      </c>
      <c r="H37" s="78">
        <f>'Sardina comun'!I54</f>
        <v>930.31200000000013</v>
      </c>
      <c r="I37" s="78">
        <f t="shared" si="7"/>
        <v>1951.6460000000002</v>
      </c>
      <c r="J37" s="78">
        <f>Anchoveta!J54+'Sardina comun'!J54</f>
        <v>0</v>
      </c>
      <c r="K37" s="1">
        <f>Anchoveta!K54</f>
        <v>1522.17</v>
      </c>
      <c r="L37" s="1">
        <f>'Sardina comun'!K54</f>
        <v>1707.4489999999998</v>
      </c>
      <c r="M37" s="1">
        <f t="shared" si="8"/>
        <v>3229.6189999999997</v>
      </c>
      <c r="N37" s="23" t="str">
        <f t="shared" si="9"/>
        <v>0</v>
      </c>
      <c r="O37" s="30" t="s">
        <v>263</v>
      </c>
      <c r="P37" s="4">
        <f t="shared" si="10"/>
        <v>0.37667365016072335</v>
      </c>
      <c r="Q37" s="3">
        <f t="shared" si="11"/>
        <v>0</v>
      </c>
    </row>
    <row r="38" spans="1:17">
      <c r="A38">
        <v>33</v>
      </c>
      <c r="B38" s="203"/>
      <c r="C38" s="11" t="s">
        <v>279</v>
      </c>
      <c r="D38" s="1" t="s">
        <v>18</v>
      </c>
      <c r="E38" s="1">
        <f>Anchoveta!H55+'Sardina comun'!H55</f>
        <v>878.65800000000002</v>
      </c>
      <c r="F38" s="2">
        <f t="shared" si="6"/>
        <v>351.46320000000003</v>
      </c>
      <c r="G38" s="78">
        <f>Anchoveta!I55</f>
        <v>97.847999999999999</v>
      </c>
      <c r="H38" s="78">
        <f>'Sardina comun'!I55</f>
        <v>551.68999999999994</v>
      </c>
      <c r="I38" s="78">
        <f t="shared" si="7"/>
        <v>649.5379999999999</v>
      </c>
      <c r="J38" s="78">
        <f>Anchoveta!J55+'Sardina comun'!J55</f>
        <v>0</v>
      </c>
      <c r="K38" s="1">
        <f>Anchoveta!K55</f>
        <v>325.61</v>
      </c>
      <c r="L38" s="1">
        <f>'Sardina comun'!K55</f>
        <v>-96.489999999999952</v>
      </c>
      <c r="M38" s="1">
        <f t="shared" si="8"/>
        <v>229.12000000000006</v>
      </c>
      <c r="N38" s="21">
        <f t="shared" si="9"/>
        <v>-96.489999999999952</v>
      </c>
      <c r="O38" s="73" t="s">
        <v>263</v>
      </c>
      <c r="P38" s="4">
        <f t="shared" si="10"/>
        <v>0.7392387026579168</v>
      </c>
      <c r="Q38" s="3">
        <f t="shared" si="11"/>
        <v>-0.10981519544578204</v>
      </c>
    </row>
    <row r="39" spans="1:17">
      <c r="A39">
        <v>34</v>
      </c>
      <c r="B39" s="203"/>
      <c r="C39" s="11" t="s">
        <v>69</v>
      </c>
      <c r="D39" s="1" t="s">
        <v>18</v>
      </c>
      <c r="E39" s="1">
        <f>Anchoveta!H56+'Sardina comun'!H56</f>
        <v>0.03</v>
      </c>
      <c r="F39" s="2">
        <f t="shared" si="6"/>
        <v>1.2E-2</v>
      </c>
      <c r="G39" s="78">
        <f>Anchoveta!I56</f>
        <v>0</v>
      </c>
      <c r="H39" s="78">
        <f>'Sardina comun'!I56</f>
        <v>0</v>
      </c>
      <c r="I39" s="78">
        <f t="shared" si="7"/>
        <v>0</v>
      </c>
      <c r="J39" s="78">
        <f>Anchoveta!J56+'Sardina comun'!J56</f>
        <v>0</v>
      </c>
      <c r="K39" s="1">
        <f>Anchoveta!K56</f>
        <v>1.4E-2</v>
      </c>
      <c r="L39" s="1">
        <f>'Sardina comun'!K56</f>
        <v>1.6E-2</v>
      </c>
      <c r="M39" s="1">
        <f t="shared" si="8"/>
        <v>0.03</v>
      </c>
      <c r="N39" s="23" t="str">
        <f t="shared" si="9"/>
        <v>0</v>
      </c>
      <c r="O39" s="73" t="s">
        <v>263</v>
      </c>
      <c r="P39" s="4">
        <f t="shared" si="10"/>
        <v>0</v>
      </c>
      <c r="Q39" s="3">
        <f t="shared" si="11"/>
        <v>0</v>
      </c>
    </row>
    <row r="40" spans="1:17">
      <c r="A40">
        <v>35</v>
      </c>
      <c r="B40" s="203"/>
      <c r="C40" s="11" t="s">
        <v>70</v>
      </c>
      <c r="D40" s="1" t="s">
        <v>18</v>
      </c>
      <c r="E40" s="1">
        <f>Anchoveta!H57+'Sardina comun'!H57</f>
        <v>601.904</v>
      </c>
      <c r="F40" s="2">
        <f t="shared" si="6"/>
        <v>240.76160000000002</v>
      </c>
      <c r="G40" s="78">
        <f>Anchoveta!I57</f>
        <v>106.76599999999999</v>
      </c>
      <c r="H40" s="78">
        <f>'Sardina comun'!I57</f>
        <v>123.87300000000002</v>
      </c>
      <c r="I40" s="78">
        <f t="shared" si="7"/>
        <v>230.63900000000001</v>
      </c>
      <c r="J40" s="78">
        <f>Anchoveta!J57+'Sardina comun'!J57</f>
        <v>0</v>
      </c>
      <c r="K40" s="1">
        <f>Anchoveta!K57</f>
        <v>381.10299999999995</v>
      </c>
      <c r="L40" s="1">
        <f>'Sardina comun'!K57</f>
        <v>-9.8380000000000507</v>
      </c>
      <c r="M40" s="1">
        <f t="shared" si="8"/>
        <v>371.26499999999987</v>
      </c>
      <c r="N40" s="23">
        <f t="shared" si="9"/>
        <v>-9.8380000000000507</v>
      </c>
      <c r="O40" s="30" t="s">
        <v>263</v>
      </c>
      <c r="P40" s="4">
        <f t="shared" si="10"/>
        <v>0.38318236795236449</v>
      </c>
      <c r="Q40" s="3">
        <f t="shared" si="11"/>
        <v>-1.6344799170631946E-2</v>
      </c>
    </row>
    <row r="41" spans="1:17">
      <c r="A41">
        <v>36</v>
      </c>
      <c r="B41" s="203"/>
      <c r="C41" s="11" t="s">
        <v>71</v>
      </c>
      <c r="D41" s="1" t="s">
        <v>18</v>
      </c>
      <c r="E41" s="1">
        <f>Anchoveta!H58+'Sardina comun'!H58</f>
        <v>1814.473</v>
      </c>
      <c r="F41" s="2">
        <f t="shared" si="6"/>
        <v>725.78920000000005</v>
      </c>
      <c r="G41" s="78">
        <f>Anchoveta!I58</f>
        <v>128.60600000000002</v>
      </c>
      <c r="H41" s="78">
        <f>'Sardina comun'!I58</f>
        <v>202.20399999999998</v>
      </c>
      <c r="I41" s="78">
        <f t="shared" si="7"/>
        <v>330.81</v>
      </c>
      <c r="J41" s="78">
        <f>Anchoveta!J58+'Sardina comun'!J58</f>
        <v>0</v>
      </c>
      <c r="K41" s="1">
        <f>Anchoveta!K58</f>
        <v>1132.3779999999999</v>
      </c>
      <c r="L41" s="1">
        <f>'Sardina comun'!K58</f>
        <v>351.28500000000008</v>
      </c>
      <c r="M41" s="1">
        <f t="shared" si="8"/>
        <v>1483.663</v>
      </c>
      <c r="N41" s="23" t="str">
        <f t="shared" si="9"/>
        <v>0</v>
      </c>
      <c r="O41" s="30" t="s">
        <v>263</v>
      </c>
      <c r="P41" s="4">
        <f t="shared" si="10"/>
        <v>0.18231740014869333</v>
      </c>
      <c r="Q41" s="3">
        <f t="shared" si="11"/>
        <v>0</v>
      </c>
    </row>
    <row r="42" spans="1:17">
      <c r="A42">
        <v>37</v>
      </c>
      <c r="B42" s="203"/>
      <c r="C42" s="11" t="s">
        <v>72</v>
      </c>
      <c r="D42" s="1" t="s">
        <v>18</v>
      </c>
      <c r="E42" s="1">
        <f>Anchoveta!H59+'Sardina comun'!H59</f>
        <v>1026.4660000000001</v>
      </c>
      <c r="F42" s="2">
        <f t="shared" si="6"/>
        <v>410.58640000000008</v>
      </c>
      <c r="G42" s="78">
        <f>Anchoveta!I59</f>
        <v>83.331999999999994</v>
      </c>
      <c r="H42" s="78">
        <f>'Sardina comun'!I59</f>
        <v>29.21</v>
      </c>
      <c r="I42" s="78">
        <f t="shared" si="7"/>
        <v>112.542</v>
      </c>
      <c r="J42" s="78">
        <f>Anchoveta!J59+'Sardina comun'!J59</f>
        <v>0</v>
      </c>
      <c r="K42" s="1">
        <f>Anchoveta!K59</f>
        <v>394.94499999999999</v>
      </c>
      <c r="L42" s="1">
        <f>'Sardina comun'!K59</f>
        <v>518.97900000000004</v>
      </c>
      <c r="M42" s="1">
        <f t="shared" si="8"/>
        <v>913.92399999999998</v>
      </c>
      <c r="N42" s="21" t="str">
        <f t="shared" si="9"/>
        <v>0</v>
      </c>
      <c r="O42" s="73" t="s">
        <v>263</v>
      </c>
      <c r="P42" s="4">
        <f t="shared" si="10"/>
        <v>0.10964026085618032</v>
      </c>
      <c r="Q42" s="3">
        <f t="shared" si="11"/>
        <v>0</v>
      </c>
    </row>
    <row r="43" spans="1:17">
      <c r="A43">
        <v>38</v>
      </c>
      <c r="B43" s="203"/>
      <c r="C43" s="11" t="s">
        <v>556</v>
      </c>
      <c r="D43" s="1" t="s">
        <v>18</v>
      </c>
      <c r="E43" s="1">
        <f>Anchoveta!H60+'Sardina comun'!H60</f>
        <v>6030.6389999999992</v>
      </c>
      <c r="F43" s="2">
        <f t="shared" si="6"/>
        <v>2412.2556</v>
      </c>
      <c r="G43" s="78">
        <f>Anchoveta!I60</f>
        <v>972.99400000000003</v>
      </c>
      <c r="H43" s="78">
        <f>'Sardina comun'!I60</f>
        <v>277.875</v>
      </c>
      <c r="I43" s="78">
        <f t="shared" si="7"/>
        <v>1250.8690000000001</v>
      </c>
      <c r="J43" s="78">
        <f>Anchoveta!J60+'Sardina comun'!J60</f>
        <v>0</v>
      </c>
      <c r="K43" s="1">
        <f>Anchoveta!K60</f>
        <v>1895.6839999999997</v>
      </c>
      <c r="L43" s="1">
        <f>'Sardina comun'!K60</f>
        <v>2884.0859999999998</v>
      </c>
      <c r="M43" s="1">
        <f t="shared" si="8"/>
        <v>4779.7699999999995</v>
      </c>
      <c r="N43" s="23" t="str">
        <f t="shared" si="9"/>
        <v>0</v>
      </c>
      <c r="O43" s="73" t="s">
        <v>263</v>
      </c>
      <c r="P43" s="4">
        <f t="shared" si="10"/>
        <v>0.2074189816369377</v>
      </c>
      <c r="Q43" s="3">
        <f t="shared" si="11"/>
        <v>0</v>
      </c>
    </row>
    <row r="44" spans="1:17">
      <c r="A44">
        <v>39</v>
      </c>
      <c r="B44" s="203"/>
      <c r="C44" s="11" t="s">
        <v>74</v>
      </c>
      <c r="D44" s="1" t="s">
        <v>18</v>
      </c>
      <c r="E44" s="1">
        <f>Anchoveta!H61+'Sardina comun'!H61</f>
        <v>1794.0540000000001</v>
      </c>
      <c r="F44" s="2">
        <f t="shared" si="6"/>
        <v>717.62160000000006</v>
      </c>
      <c r="G44" s="78">
        <f>Anchoveta!I61</f>
        <v>172.81299999999999</v>
      </c>
      <c r="H44" s="78">
        <f>'Sardina comun'!I61</f>
        <v>482.15899999999999</v>
      </c>
      <c r="I44" s="78">
        <f t="shared" si="7"/>
        <v>654.97199999999998</v>
      </c>
      <c r="J44" s="78">
        <f>Anchoveta!J61+'Sardina comun'!J61</f>
        <v>0</v>
      </c>
      <c r="K44" s="1">
        <f>Anchoveta!K61</f>
        <v>691.81000000000006</v>
      </c>
      <c r="L44" s="1">
        <f>'Sardina comun'!K61</f>
        <v>447.27200000000005</v>
      </c>
      <c r="M44" s="1">
        <f t="shared" si="8"/>
        <v>1139.0820000000001</v>
      </c>
      <c r="N44" s="23" t="str">
        <f t="shared" si="9"/>
        <v>0</v>
      </c>
      <c r="O44" s="30" t="s">
        <v>263</v>
      </c>
      <c r="P44" s="4">
        <f t="shared" si="10"/>
        <v>0.36507931199395333</v>
      </c>
      <c r="Q44" s="3">
        <f t="shared" si="11"/>
        <v>0</v>
      </c>
    </row>
    <row r="45" spans="1:17">
      <c r="A45">
        <v>40</v>
      </c>
      <c r="B45" s="203"/>
      <c r="C45" s="11" t="s">
        <v>75</v>
      </c>
      <c r="D45" s="1" t="s">
        <v>18</v>
      </c>
      <c r="E45" s="1">
        <f>Anchoveta!H62+'Sardina comun'!H62</f>
        <v>1680.721</v>
      </c>
      <c r="F45" s="2">
        <f t="shared" si="6"/>
        <v>672.28840000000002</v>
      </c>
      <c r="G45" s="78">
        <f>Anchoveta!I62</f>
        <v>56.554000000000002</v>
      </c>
      <c r="H45" s="78">
        <f>'Sardina comun'!I62</f>
        <v>292.74800000000005</v>
      </c>
      <c r="I45" s="78">
        <f t="shared" si="7"/>
        <v>349.30200000000002</v>
      </c>
      <c r="J45" s="78">
        <f>Anchoveta!J62+'Sardina comun'!J62</f>
        <v>0</v>
      </c>
      <c r="K45" s="1">
        <f>Anchoveta!K62</f>
        <v>753.45</v>
      </c>
      <c r="L45" s="1">
        <f>'Sardina comun'!K62</f>
        <v>577.96899999999994</v>
      </c>
      <c r="M45" s="1">
        <f t="shared" si="8"/>
        <v>1331.4189999999999</v>
      </c>
      <c r="N45" s="23" t="str">
        <f t="shared" si="9"/>
        <v>0</v>
      </c>
      <c r="O45" s="30" t="s">
        <v>263</v>
      </c>
      <c r="P45" s="4">
        <f t="shared" si="10"/>
        <v>0.2078286640078871</v>
      </c>
      <c r="Q45" s="3">
        <f t="shared" si="11"/>
        <v>0</v>
      </c>
    </row>
    <row r="46" spans="1:17">
      <c r="A46">
        <v>41</v>
      </c>
      <c r="B46" s="203"/>
      <c r="C46" s="11" t="s">
        <v>322</v>
      </c>
      <c r="D46" s="1" t="s">
        <v>18</v>
      </c>
      <c r="E46" s="1">
        <f>Anchoveta!H63+'Sardina comun'!H63</f>
        <v>942.22900000000004</v>
      </c>
      <c r="F46" s="2">
        <f t="shared" si="6"/>
        <v>376.89160000000004</v>
      </c>
      <c r="G46" s="78">
        <f>Anchoveta!I63</f>
        <v>54.338000000000001</v>
      </c>
      <c r="H46" s="78">
        <f>'Sardina comun'!I63</f>
        <v>91.99199999999999</v>
      </c>
      <c r="I46" s="78">
        <f t="shared" si="7"/>
        <v>146.32999999999998</v>
      </c>
      <c r="J46" s="78">
        <f>Anchoveta!J63+'Sardina comun'!J63</f>
        <v>0</v>
      </c>
      <c r="K46" s="1">
        <f>Anchoveta!K63</f>
        <v>435.30900000000003</v>
      </c>
      <c r="L46" s="1">
        <f>'Sardina comun'!K63</f>
        <v>360.59000000000003</v>
      </c>
      <c r="M46" s="1">
        <f t="shared" si="8"/>
        <v>795.89900000000011</v>
      </c>
      <c r="N46" s="21" t="str">
        <f t="shared" si="9"/>
        <v>0</v>
      </c>
      <c r="O46" s="73" t="s">
        <v>263</v>
      </c>
      <c r="P46" s="4">
        <f t="shared" si="10"/>
        <v>0.15530194888928273</v>
      </c>
      <c r="Q46" s="3">
        <f t="shared" si="11"/>
        <v>0</v>
      </c>
    </row>
    <row r="47" spans="1:17">
      <c r="A47">
        <v>42</v>
      </c>
      <c r="B47" s="203"/>
      <c r="C47" s="11" t="s">
        <v>76</v>
      </c>
      <c r="D47" s="1" t="s">
        <v>18</v>
      </c>
      <c r="E47" s="1">
        <f>Anchoveta!H64+'Sardina comun'!H64</f>
        <v>218.67999999999995</v>
      </c>
      <c r="F47" s="2">
        <f t="shared" si="6"/>
        <v>87.47199999999998</v>
      </c>
      <c r="G47" s="78">
        <f>Anchoveta!I64</f>
        <v>22.536000000000001</v>
      </c>
      <c r="H47" s="78">
        <f>'Sardina comun'!I64</f>
        <v>11.206</v>
      </c>
      <c r="I47" s="78">
        <f t="shared" si="7"/>
        <v>33.742000000000004</v>
      </c>
      <c r="J47" s="78">
        <f>Anchoveta!J64+'Sardina comun'!J64</f>
        <v>0</v>
      </c>
      <c r="K47" s="1">
        <f>Anchoveta!K64</f>
        <v>184.93799999999993</v>
      </c>
      <c r="L47" s="1">
        <f>'Sardina comun'!K64</f>
        <v>1.7763568394002505E-14</v>
      </c>
      <c r="M47" s="1">
        <f t="shared" si="8"/>
        <v>184.93799999999996</v>
      </c>
      <c r="N47" s="23" t="str">
        <f t="shared" si="9"/>
        <v>0</v>
      </c>
      <c r="O47" s="73" t="s">
        <v>263</v>
      </c>
      <c r="P47" s="4">
        <f t="shared" si="10"/>
        <v>0.15429851838302547</v>
      </c>
      <c r="Q47" s="3">
        <f t="shared" si="11"/>
        <v>0</v>
      </c>
    </row>
    <row r="48" spans="1:17">
      <c r="A48">
        <v>43</v>
      </c>
      <c r="B48" s="203"/>
      <c r="C48" s="11" t="s">
        <v>77</v>
      </c>
      <c r="D48" s="1" t="s">
        <v>18</v>
      </c>
      <c r="E48" s="1">
        <f>Anchoveta!H65+'Sardina comun'!H65</f>
        <v>21.953000000000003</v>
      </c>
      <c r="F48" s="2">
        <f t="shared" si="6"/>
        <v>8.7812000000000019</v>
      </c>
      <c r="G48" s="78">
        <f>Anchoveta!I65</f>
        <v>0</v>
      </c>
      <c r="H48" s="78">
        <f>'Sardina comun'!I65</f>
        <v>0</v>
      </c>
      <c r="I48" s="78">
        <f t="shared" si="7"/>
        <v>0</v>
      </c>
      <c r="J48" s="78">
        <f>Anchoveta!J65+'Sardina comun'!J65</f>
        <v>0</v>
      </c>
      <c r="K48" s="1">
        <f>Anchoveta!K65</f>
        <v>21.545000000000002</v>
      </c>
      <c r="L48" s="1">
        <f>'Sardina comun'!K65</f>
        <v>0.40800000000000125</v>
      </c>
      <c r="M48" s="1">
        <f t="shared" si="8"/>
        <v>21.953000000000003</v>
      </c>
      <c r="N48" s="23" t="str">
        <f t="shared" si="9"/>
        <v>0</v>
      </c>
      <c r="O48" s="30" t="s">
        <v>263</v>
      </c>
      <c r="P48" s="4">
        <f t="shared" si="10"/>
        <v>0</v>
      </c>
      <c r="Q48" s="3">
        <f t="shared" si="11"/>
        <v>0</v>
      </c>
    </row>
    <row r="49" spans="1:17">
      <c r="A49">
        <v>44</v>
      </c>
      <c r="B49" s="203"/>
      <c r="C49" s="11" t="s">
        <v>78</v>
      </c>
      <c r="D49" s="1" t="s">
        <v>18</v>
      </c>
      <c r="E49" s="1">
        <f>Anchoveta!H66+'Sardina comun'!H66</f>
        <v>824.02099999999996</v>
      </c>
      <c r="F49" s="2">
        <f t="shared" si="6"/>
        <v>329.60840000000002</v>
      </c>
      <c r="G49" s="78">
        <f>Anchoveta!I66</f>
        <v>52.243999999999993</v>
      </c>
      <c r="H49" s="78">
        <f>'Sardina comun'!I66</f>
        <v>52.341000000000001</v>
      </c>
      <c r="I49" s="78">
        <f t="shared" si="7"/>
        <v>104.58499999999999</v>
      </c>
      <c r="J49" s="78">
        <f>Anchoveta!J66+'Sardina comun'!J66</f>
        <v>0</v>
      </c>
      <c r="K49" s="1">
        <f>Anchoveta!K66</f>
        <v>465.98500000000007</v>
      </c>
      <c r="L49" s="1">
        <f>'Sardina comun'!K66</f>
        <v>253.45099999999991</v>
      </c>
      <c r="M49" s="1">
        <f t="shared" si="8"/>
        <v>719.43599999999992</v>
      </c>
      <c r="N49" s="23" t="str">
        <f t="shared" si="9"/>
        <v>0</v>
      </c>
      <c r="O49" s="30" t="s">
        <v>263</v>
      </c>
      <c r="P49" s="4">
        <f t="shared" si="10"/>
        <v>0.12692030906979312</v>
      </c>
      <c r="Q49" s="3">
        <f t="shared" si="11"/>
        <v>0</v>
      </c>
    </row>
    <row r="50" spans="1:17">
      <c r="A50">
        <v>45</v>
      </c>
      <c r="B50" s="203"/>
      <c r="C50" s="11" t="s">
        <v>79</v>
      </c>
      <c r="D50" s="1" t="s">
        <v>18</v>
      </c>
      <c r="E50" s="1">
        <f>Anchoveta!H67+'Sardina comun'!H67</f>
        <v>5159.7880000000005</v>
      </c>
      <c r="F50" s="2">
        <f t="shared" si="6"/>
        <v>2063.9152000000004</v>
      </c>
      <c r="G50" s="78">
        <f>Anchoveta!I67</f>
        <v>675.01400000000001</v>
      </c>
      <c r="H50" s="78">
        <f>'Sardina comun'!I67</f>
        <v>309.62300000000005</v>
      </c>
      <c r="I50" s="78">
        <f t="shared" si="7"/>
        <v>984.63700000000006</v>
      </c>
      <c r="J50" s="78">
        <f>Anchoveta!J67+'Sardina comun'!J67</f>
        <v>0</v>
      </c>
      <c r="K50" s="1">
        <f>Anchoveta!K67</f>
        <v>1811.6859999999997</v>
      </c>
      <c r="L50" s="1">
        <f>'Sardina comun'!K67</f>
        <v>2363.4650000000001</v>
      </c>
      <c r="M50" s="1">
        <f t="shared" si="8"/>
        <v>4175.1509999999998</v>
      </c>
      <c r="N50" s="21" t="str">
        <f t="shared" si="9"/>
        <v>0</v>
      </c>
      <c r="O50" s="73" t="s">
        <v>263</v>
      </c>
      <c r="P50" s="4">
        <f t="shared" si="10"/>
        <v>0.19082896429078094</v>
      </c>
      <c r="Q50" s="3">
        <f t="shared" si="11"/>
        <v>0</v>
      </c>
    </row>
    <row r="51" spans="1:17">
      <c r="A51">
        <v>46</v>
      </c>
      <c r="B51" s="203"/>
      <c r="C51" s="11" t="s">
        <v>80</v>
      </c>
      <c r="D51" s="1" t="s">
        <v>18</v>
      </c>
      <c r="E51" s="1">
        <f>Anchoveta!H68+'Sardina comun'!H68</f>
        <v>5085.0169999999998</v>
      </c>
      <c r="F51" s="2">
        <f t="shared" si="6"/>
        <v>2034.0068000000001</v>
      </c>
      <c r="G51" s="78">
        <f>Anchoveta!I68</f>
        <v>1672.2619999999999</v>
      </c>
      <c r="H51" s="78">
        <f>'Sardina comun'!I68</f>
        <v>910.07900000000006</v>
      </c>
      <c r="I51" s="78">
        <f t="shared" si="7"/>
        <v>2582.3409999999999</v>
      </c>
      <c r="J51" s="78">
        <f>Anchoveta!J68+'Sardina comun'!J68</f>
        <v>0</v>
      </c>
      <c r="K51" s="1">
        <f>Anchoveta!K68</f>
        <v>731.94899999999984</v>
      </c>
      <c r="L51" s="1">
        <f>'Sardina comun'!K68</f>
        <v>1770.7269999999999</v>
      </c>
      <c r="M51" s="1">
        <f t="shared" si="8"/>
        <v>2502.6759999999995</v>
      </c>
      <c r="N51" s="23" t="str">
        <f t="shared" si="9"/>
        <v>0</v>
      </c>
      <c r="O51" s="73" t="s">
        <v>263</v>
      </c>
      <c r="P51" s="4">
        <f t="shared" si="10"/>
        <v>0.50783330714528585</v>
      </c>
      <c r="Q51" s="3">
        <f t="shared" si="11"/>
        <v>0</v>
      </c>
    </row>
    <row r="52" spans="1:17">
      <c r="A52">
        <v>47</v>
      </c>
      <c r="B52" s="203"/>
      <c r="C52" s="11" t="s">
        <v>81</v>
      </c>
      <c r="D52" s="1" t="s">
        <v>18</v>
      </c>
      <c r="E52" s="1">
        <f>Anchoveta!H69+'Sardina comun'!H69</f>
        <v>1073.8069999999998</v>
      </c>
      <c r="F52" s="2">
        <f t="shared" si="6"/>
        <v>429.52279999999996</v>
      </c>
      <c r="G52" s="78">
        <f>Anchoveta!I69</f>
        <v>7.886000000000001</v>
      </c>
      <c r="H52" s="78">
        <f>'Sardina comun'!I69</f>
        <v>24.744</v>
      </c>
      <c r="I52" s="78">
        <f t="shared" si="7"/>
        <v>32.630000000000003</v>
      </c>
      <c r="J52" s="78">
        <f>Anchoveta!J69+'Sardina comun'!J69</f>
        <v>0</v>
      </c>
      <c r="K52" s="1">
        <f>Anchoveta!K69</f>
        <v>669.79899999999998</v>
      </c>
      <c r="L52" s="1">
        <f>'Sardina comun'!K69</f>
        <v>371.37799999999982</v>
      </c>
      <c r="M52" s="1">
        <f t="shared" si="8"/>
        <v>1041.1769999999997</v>
      </c>
      <c r="N52" s="23" t="str">
        <f t="shared" si="9"/>
        <v>0</v>
      </c>
      <c r="O52" s="30" t="s">
        <v>263</v>
      </c>
      <c r="P52" s="4">
        <f t="shared" si="10"/>
        <v>3.038721110963144E-2</v>
      </c>
      <c r="Q52" s="3">
        <f t="shared" si="11"/>
        <v>0</v>
      </c>
    </row>
    <row r="53" spans="1:17">
      <c r="A53">
        <v>48</v>
      </c>
      <c r="B53" s="203"/>
      <c r="C53" s="11" t="s">
        <v>82</v>
      </c>
      <c r="D53" s="1" t="s">
        <v>18</v>
      </c>
      <c r="E53" s="1">
        <f>Anchoveta!H70+'Sardina comun'!H70</f>
        <v>20.327999999999999</v>
      </c>
      <c r="F53" s="2">
        <f t="shared" si="6"/>
        <v>8.1311999999999998</v>
      </c>
      <c r="G53" s="78">
        <f>Anchoveta!I70</f>
        <v>0</v>
      </c>
      <c r="H53" s="78">
        <f>'Sardina comun'!I70</f>
        <v>0</v>
      </c>
      <c r="I53" s="78">
        <f t="shared" si="7"/>
        <v>0</v>
      </c>
      <c r="J53" s="78">
        <f>Anchoveta!J70+'Sardina comun'!J70</f>
        <v>0</v>
      </c>
      <c r="K53" s="1">
        <f>Anchoveta!K70</f>
        <v>0</v>
      </c>
      <c r="L53" s="1">
        <f>'Sardina comun'!K70</f>
        <v>20.327999999999999</v>
      </c>
      <c r="M53" s="1">
        <f t="shared" si="8"/>
        <v>20.327999999999999</v>
      </c>
      <c r="N53" s="23" t="str">
        <f t="shared" si="9"/>
        <v>0</v>
      </c>
      <c r="O53" s="30" t="s">
        <v>263</v>
      </c>
      <c r="P53" s="4">
        <f t="shared" si="10"/>
        <v>0</v>
      </c>
      <c r="Q53" s="3">
        <f t="shared" si="11"/>
        <v>0</v>
      </c>
    </row>
    <row r="54" spans="1:17">
      <c r="A54">
        <v>49</v>
      </c>
      <c r="B54" s="203"/>
      <c r="C54" s="11" t="s">
        <v>83</v>
      </c>
      <c r="D54" s="1" t="s">
        <v>18</v>
      </c>
      <c r="E54" s="1">
        <f>Anchoveta!H71+'Sardina comun'!H71</f>
        <v>8017.7199999999993</v>
      </c>
      <c r="F54" s="2">
        <f t="shared" si="6"/>
        <v>3207.0879999999997</v>
      </c>
      <c r="G54" s="78">
        <f>Anchoveta!I71</f>
        <v>698.0870000000001</v>
      </c>
      <c r="H54" s="78">
        <f>'Sardina comun'!I71</f>
        <v>881.49600000000009</v>
      </c>
      <c r="I54" s="78">
        <f t="shared" si="7"/>
        <v>1579.5830000000001</v>
      </c>
      <c r="J54" s="78">
        <f>Anchoveta!J71+'Sardina comun'!J71</f>
        <v>0</v>
      </c>
      <c r="K54" s="1">
        <f>Anchoveta!K71</f>
        <v>3244.7859999999996</v>
      </c>
      <c r="L54" s="1">
        <f>'Sardina comun'!K71</f>
        <v>3193.3509999999997</v>
      </c>
      <c r="M54" s="1">
        <f t="shared" si="8"/>
        <v>6438.1369999999988</v>
      </c>
      <c r="N54" s="21" t="str">
        <f t="shared" si="9"/>
        <v>0</v>
      </c>
      <c r="O54" s="73" t="s">
        <v>263</v>
      </c>
      <c r="P54" s="4">
        <f t="shared" si="10"/>
        <v>0.19701149453959482</v>
      </c>
      <c r="Q54" s="3">
        <f t="shared" si="11"/>
        <v>0</v>
      </c>
    </row>
    <row r="55" spans="1:17">
      <c r="A55">
        <v>50</v>
      </c>
      <c r="B55" s="203"/>
      <c r="C55" s="11" t="s">
        <v>323</v>
      </c>
      <c r="D55" s="1" t="s">
        <v>18</v>
      </c>
      <c r="E55" s="1">
        <f>Anchoveta!H72+'Sardina comun'!H72</f>
        <v>202.83499999999998</v>
      </c>
      <c r="F55" s="2">
        <f t="shared" si="6"/>
        <v>81.134</v>
      </c>
      <c r="G55" s="78">
        <f>Anchoveta!I72</f>
        <v>0</v>
      </c>
      <c r="H55" s="78">
        <f>'Sardina comun'!I72</f>
        <v>0</v>
      </c>
      <c r="I55" s="78">
        <f t="shared" si="7"/>
        <v>0</v>
      </c>
      <c r="J55" s="78">
        <f>Anchoveta!J72+'Sardina comun'!J72</f>
        <v>0</v>
      </c>
      <c r="K55" s="1">
        <f>Anchoveta!K72</f>
        <v>98.391999999999996</v>
      </c>
      <c r="L55" s="1">
        <f>'Sardina comun'!K72</f>
        <v>104.443</v>
      </c>
      <c r="M55" s="1">
        <f t="shared" si="8"/>
        <v>202.83499999999998</v>
      </c>
      <c r="N55" s="23" t="str">
        <f t="shared" si="9"/>
        <v>0</v>
      </c>
      <c r="O55" s="73" t="s">
        <v>263</v>
      </c>
      <c r="P55" s="4">
        <f t="shared" si="10"/>
        <v>0</v>
      </c>
      <c r="Q55" s="3">
        <f t="shared" si="11"/>
        <v>0</v>
      </c>
    </row>
    <row r="56" spans="1:17">
      <c r="A56">
        <v>51</v>
      </c>
      <c r="B56" s="203"/>
      <c r="C56" s="11" t="s">
        <v>261</v>
      </c>
      <c r="D56" s="1" t="s">
        <v>18</v>
      </c>
      <c r="E56" s="1">
        <f>Anchoveta!H73+'Sardina comun'!H73</f>
        <v>1176.8029999999999</v>
      </c>
      <c r="F56" s="2">
        <f t="shared" si="6"/>
        <v>470.72119999999995</v>
      </c>
      <c r="G56" s="78">
        <f>Anchoveta!I73</f>
        <v>591.63499999999999</v>
      </c>
      <c r="H56" s="78">
        <f>'Sardina comun'!I73</f>
        <v>404.11699999999996</v>
      </c>
      <c r="I56" s="78">
        <f t="shared" si="7"/>
        <v>995.75199999999995</v>
      </c>
      <c r="J56" s="78">
        <f>Anchoveta!J73+'Sardina comun'!J73</f>
        <v>0</v>
      </c>
      <c r="K56" s="1">
        <f>Anchoveta!K73</f>
        <v>-115.45799999999997</v>
      </c>
      <c r="L56" s="1">
        <f>'Sardina comun'!K73</f>
        <v>296.50900000000001</v>
      </c>
      <c r="M56" s="1">
        <f t="shared" si="8"/>
        <v>181.05100000000004</v>
      </c>
      <c r="N56" s="23">
        <f t="shared" si="9"/>
        <v>-115.45799999999997</v>
      </c>
      <c r="O56" s="30" t="s">
        <v>263</v>
      </c>
      <c r="P56" s="4">
        <f t="shared" si="10"/>
        <v>0.84615012028351388</v>
      </c>
      <c r="Q56" s="3">
        <f t="shared" si="11"/>
        <v>-9.8111578573474051E-2</v>
      </c>
    </row>
    <row r="57" spans="1:17">
      <c r="A57">
        <v>52</v>
      </c>
      <c r="B57" s="203"/>
      <c r="C57" s="11" t="s">
        <v>324</v>
      </c>
      <c r="D57" s="1" t="s">
        <v>18</v>
      </c>
      <c r="E57" s="1">
        <f>Anchoveta!H74+'Sardina comun'!H74</f>
        <v>8.247999999999994</v>
      </c>
      <c r="F57" s="2">
        <f t="shared" si="6"/>
        <v>3.2991999999999977</v>
      </c>
      <c r="G57" s="78">
        <f>Anchoveta!I74</f>
        <v>0</v>
      </c>
      <c r="H57" s="78">
        <f>'Sardina comun'!I74</f>
        <v>0</v>
      </c>
      <c r="I57" s="78">
        <f t="shared" si="7"/>
        <v>0</v>
      </c>
      <c r="J57" s="78">
        <f>Anchoveta!J74+'Sardina comun'!J74</f>
        <v>0</v>
      </c>
      <c r="K57" s="1">
        <f>Anchoveta!K74</f>
        <v>8.1909999999999989</v>
      </c>
      <c r="L57" s="1">
        <f>'Sardina comun'!K74</f>
        <v>5.6999999999995055E-2</v>
      </c>
      <c r="M57" s="1">
        <f t="shared" si="8"/>
        <v>8.247999999999994</v>
      </c>
      <c r="N57" s="23" t="str">
        <f t="shared" si="9"/>
        <v>0</v>
      </c>
      <c r="O57" s="73" t="s">
        <v>263</v>
      </c>
      <c r="P57" s="4">
        <f t="shared" si="10"/>
        <v>0</v>
      </c>
      <c r="Q57" s="3">
        <f t="shared" si="11"/>
        <v>0</v>
      </c>
    </row>
    <row r="58" spans="1:17">
      <c r="A58">
        <v>53</v>
      </c>
      <c r="B58" s="203"/>
      <c r="C58" s="11" t="s">
        <v>84</v>
      </c>
      <c r="D58" s="1" t="s">
        <v>18</v>
      </c>
      <c r="E58" s="1">
        <f>Anchoveta!H75+'Sardina comun'!H75</f>
        <v>2949.3069999999998</v>
      </c>
      <c r="F58" s="2">
        <f t="shared" si="6"/>
        <v>1179.7228</v>
      </c>
      <c r="G58" s="78">
        <f>Anchoveta!I75</f>
        <v>517.87200000000007</v>
      </c>
      <c r="H58" s="78">
        <f>'Sardina comun'!I75</f>
        <v>488.80899999999997</v>
      </c>
      <c r="I58" s="78">
        <f t="shared" si="7"/>
        <v>1006.681</v>
      </c>
      <c r="J58" s="78">
        <f>Anchoveta!J75+'Sardina comun'!J75</f>
        <v>0</v>
      </c>
      <c r="K58" s="1">
        <f>Anchoveta!K75</f>
        <v>915.80299999999988</v>
      </c>
      <c r="L58" s="1">
        <f>'Sardina comun'!K75</f>
        <v>1026.8230000000001</v>
      </c>
      <c r="M58" s="1">
        <f t="shared" si="8"/>
        <v>1942.626</v>
      </c>
      <c r="N58" s="21" t="str">
        <f t="shared" si="9"/>
        <v>0</v>
      </c>
      <c r="O58" s="73" t="s">
        <v>263</v>
      </c>
      <c r="P58" s="4">
        <f t="shared" si="10"/>
        <v>0.341327979759313</v>
      </c>
      <c r="Q58" s="3">
        <f t="shared" si="11"/>
        <v>0</v>
      </c>
    </row>
    <row r="59" spans="1:17">
      <c r="A59">
        <v>54</v>
      </c>
      <c r="B59" s="203"/>
      <c r="C59" s="11" t="s">
        <v>85</v>
      </c>
      <c r="D59" s="1" t="s">
        <v>18</v>
      </c>
      <c r="E59" s="1">
        <f>Anchoveta!H76+'Sardina comun'!H76</f>
        <v>10155.512999999999</v>
      </c>
      <c r="F59" s="2">
        <f t="shared" si="6"/>
        <v>4062.2051999999999</v>
      </c>
      <c r="G59" s="78">
        <f>Anchoveta!I76</f>
        <v>1040.826</v>
      </c>
      <c r="H59" s="78">
        <f>'Sardina comun'!I76</f>
        <v>1116.8520000000001</v>
      </c>
      <c r="I59" s="78">
        <f t="shared" si="7"/>
        <v>2157.6779999999999</v>
      </c>
      <c r="J59" s="78">
        <f>Anchoveta!J76+'Sardina comun'!J76</f>
        <v>0</v>
      </c>
      <c r="K59" s="1">
        <f>Anchoveta!K76</f>
        <v>4100.2479999999996</v>
      </c>
      <c r="L59" s="1">
        <f>'Sardina comun'!K76</f>
        <v>3897.5870000000004</v>
      </c>
      <c r="M59" s="1">
        <f t="shared" si="8"/>
        <v>7997.835</v>
      </c>
      <c r="N59" s="23" t="str">
        <f t="shared" si="9"/>
        <v>0</v>
      </c>
      <c r="O59" s="73" t="s">
        <v>263</v>
      </c>
      <c r="P59" s="4">
        <f t="shared" si="10"/>
        <v>0.21246371305910397</v>
      </c>
      <c r="Q59" s="3">
        <f t="shared" si="11"/>
        <v>0</v>
      </c>
    </row>
    <row r="60" spans="1:17">
      <c r="A60">
        <v>55</v>
      </c>
      <c r="B60" s="203"/>
      <c r="C60" s="11" t="s">
        <v>86</v>
      </c>
      <c r="D60" s="1" t="s">
        <v>18</v>
      </c>
      <c r="E60" s="1">
        <f>Anchoveta!H77+'Sardina comun'!H77</f>
        <v>568.40099999999984</v>
      </c>
      <c r="F60" s="2">
        <f t="shared" si="6"/>
        <v>227.36039999999994</v>
      </c>
      <c r="G60" s="78">
        <f>Anchoveta!I77</f>
        <v>30.151999999999997</v>
      </c>
      <c r="H60" s="78">
        <f>'Sardina comun'!I77</f>
        <v>56.957000000000001</v>
      </c>
      <c r="I60" s="78">
        <f t="shared" si="7"/>
        <v>87.108999999999995</v>
      </c>
      <c r="J60" s="78">
        <f>Anchoveta!J77+'Sardina comun'!J77</f>
        <v>0</v>
      </c>
      <c r="K60" s="1">
        <f>Anchoveta!K77</f>
        <v>427.01499999999993</v>
      </c>
      <c r="L60" s="1">
        <f>'Sardina comun'!K77</f>
        <v>54.276999999999923</v>
      </c>
      <c r="M60" s="1">
        <f t="shared" si="8"/>
        <v>481.29199999999986</v>
      </c>
      <c r="N60" s="23" t="str">
        <f t="shared" si="9"/>
        <v>0</v>
      </c>
      <c r="O60" s="30" t="s">
        <v>263</v>
      </c>
      <c r="P60" s="4">
        <f t="shared" si="10"/>
        <v>0.15325272123025824</v>
      </c>
      <c r="Q60" s="3">
        <f t="shared" si="11"/>
        <v>0</v>
      </c>
    </row>
    <row r="61" spans="1:17">
      <c r="A61">
        <v>56</v>
      </c>
      <c r="B61" s="203"/>
      <c r="C61" s="11" t="s">
        <v>87</v>
      </c>
      <c r="D61" s="1" t="s">
        <v>18</v>
      </c>
      <c r="E61" s="1">
        <f>Anchoveta!H78+'Sardina comun'!H78</f>
        <v>5212.0010000000002</v>
      </c>
      <c r="F61" s="2">
        <f t="shared" si="6"/>
        <v>2084.8004000000001</v>
      </c>
      <c r="G61" s="78">
        <f>Anchoveta!I78</f>
        <v>560.89400000000001</v>
      </c>
      <c r="H61" s="78">
        <f>'Sardina comun'!I78</f>
        <v>604.61</v>
      </c>
      <c r="I61" s="78">
        <f t="shared" si="7"/>
        <v>1165.5039999999999</v>
      </c>
      <c r="J61" s="78">
        <f>Anchoveta!J78+'Sardina comun'!J78</f>
        <v>0</v>
      </c>
      <c r="K61" s="1">
        <f>Anchoveta!K78</f>
        <v>1950.9689999999998</v>
      </c>
      <c r="L61" s="1">
        <f>'Sardina comun'!K78</f>
        <v>2095.5279999999998</v>
      </c>
      <c r="M61" s="1">
        <f t="shared" si="8"/>
        <v>4046.4969999999994</v>
      </c>
      <c r="N61" s="23" t="str">
        <f t="shared" si="9"/>
        <v>0</v>
      </c>
      <c r="O61" s="30" t="s">
        <v>263</v>
      </c>
      <c r="P61" s="4">
        <f t="shared" si="10"/>
        <v>0.22361929707995065</v>
      </c>
      <c r="Q61" s="3">
        <f t="shared" si="11"/>
        <v>0</v>
      </c>
    </row>
    <row r="62" spans="1:17">
      <c r="A62">
        <v>57</v>
      </c>
      <c r="B62" s="203"/>
      <c r="C62" s="11" t="s">
        <v>165</v>
      </c>
      <c r="D62" s="1" t="s">
        <v>18</v>
      </c>
      <c r="E62" s="1">
        <f>Anchoveta!H79+'Sardina comun'!H79</f>
        <v>13597.521000000001</v>
      </c>
      <c r="F62" s="2">
        <f t="shared" si="6"/>
        <v>5439.0084000000006</v>
      </c>
      <c r="G62" s="78">
        <f>Anchoveta!I79</f>
        <v>2235.1469999999999</v>
      </c>
      <c r="H62" s="78">
        <f>'Sardina comun'!I79</f>
        <v>3005.5630000000001</v>
      </c>
      <c r="I62" s="78">
        <f t="shared" si="7"/>
        <v>5240.71</v>
      </c>
      <c r="J62" s="78">
        <f>Anchoveta!J79+'Sardina comun'!J79</f>
        <v>0</v>
      </c>
      <c r="K62" s="1">
        <f>Anchoveta!K79</f>
        <v>3941.7250000000004</v>
      </c>
      <c r="L62" s="1">
        <f>'Sardina comun'!K79</f>
        <v>4415.0860000000002</v>
      </c>
      <c r="M62" s="1">
        <f t="shared" si="8"/>
        <v>8356.8110000000015</v>
      </c>
      <c r="N62" s="21" t="str">
        <f t="shared" si="9"/>
        <v>0</v>
      </c>
      <c r="O62" s="73" t="s">
        <v>263</v>
      </c>
      <c r="P62" s="4">
        <f t="shared" si="10"/>
        <v>0.38541657703635829</v>
      </c>
      <c r="Q62" s="3">
        <f t="shared" si="11"/>
        <v>0</v>
      </c>
    </row>
    <row r="63" spans="1:17">
      <c r="A63">
        <v>58</v>
      </c>
      <c r="B63" s="203"/>
      <c r="C63" s="11" t="s">
        <v>88</v>
      </c>
      <c r="D63" s="1" t="s">
        <v>18</v>
      </c>
      <c r="E63" s="1">
        <f>Anchoveta!H80+'Sardina comun'!H80</f>
        <v>44.954999999999984</v>
      </c>
      <c r="F63" s="2">
        <f t="shared" si="6"/>
        <v>17.981999999999996</v>
      </c>
      <c r="G63" s="78">
        <f>Anchoveta!I80</f>
        <v>0</v>
      </c>
      <c r="H63" s="78">
        <f>'Sardina comun'!I80</f>
        <v>0</v>
      </c>
      <c r="I63" s="78">
        <f t="shared" si="7"/>
        <v>0</v>
      </c>
      <c r="J63" s="78">
        <f>Anchoveta!J80+'Sardina comun'!J80</f>
        <v>0</v>
      </c>
      <c r="K63" s="1">
        <f>Anchoveta!K80</f>
        <v>44.873999999999995</v>
      </c>
      <c r="L63" s="1">
        <f>'Sardina comun'!K80</f>
        <v>8.0999999999988859E-2</v>
      </c>
      <c r="M63" s="1">
        <f t="shared" si="8"/>
        <v>44.954999999999984</v>
      </c>
      <c r="N63" s="23" t="str">
        <f t="shared" si="9"/>
        <v>0</v>
      </c>
      <c r="O63" s="73" t="s">
        <v>263</v>
      </c>
      <c r="P63" s="4">
        <f t="shared" si="10"/>
        <v>0</v>
      </c>
      <c r="Q63" s="3">
        <f t="shared" si="11"/>
        <v>0</v>
      </c>
    </row>
    <row r="64" spans="1:17">
      <c r="A64">
        <v>59</v>
      </c>
      <c r="B64" s="203"/>
      <c r="C64" s="11" t="s">
        <v>89</v>
      </c>
      <c r="D64" s="1" t="s">
        <v>18</v>
      </c>
      <c r="E64" s="1">
        <f>Anchoveta!H81+'Sardina comun'!H81</f>
        <v>20602.593000000001</v>
      </c>
      <c r="F64" s="2">
        <f t="shared" si="6"/>
        <v>8241.0372000000007</v>
      </c>
      <c r="G64" s="78">
        <f>Anchoveta!I81</f>
        <v>3777.9019999999996</v>
      </c>
      <c r="H64" s="78">
        <f>'Sardina comun'!I81</f>
        <v>2779.0239999999999</v>
      </c>
      <c r="I64" s="78">
        <f t="shared" si="7"/>
        <v>6556.9259999999995</v>
      </c>
      <c r="J64" s="78">
        <f>Anchoveta!J81+'Sardina comun'!J81</f>
        <v>0</v>
      </c>
      <c r="K64" s="1">
        <f>Anchoveta!K81</f>
        <v>5527.1489999999994</v>
      </c>
      <c r="L64" s="1">
        <f>'Sardina comun'!K81</f>
        <v>8518.5180000000018</v>
      </c>
      <c r="M64" s="1">
        <f t="shared" si="8"/>
        <v>14045.667000000001</v>
      </c>
      <c r="N64" s="23" t="str">
        <f t="shared" si="9"/>
        <v>0</v>
      </c>
      <c r="O64" s="30" t="s">
        <v>263</v>
      </c>
      <c r="P64" s="4">
        <f t="shared" si="10"/>
        <v>0.31825731838705928</v>
      </c>
      <c r="Q64" s="3">
        <f t="shared" si="11"/>
        <v>0</v>
      </c>
    </row>
    <row r="65" spans="1:17">
      <c r="A65">
        <v>60</v>
      </c>
      <c r="B65" s="203"/>
      <c r="C65" s="11" t="s">
        <v>166</v>
      </c>
      <c r="D65" s="1" t="s">
        <v>18</v>
      </c>
      <c r="E65" s="1">
        <f>Anchoveta!H82+'Sardina comun'!H82</f>
        <v>351.423</v>
      </c>
      <c r="F65" s="2">
        <f t="shared" si="6"/>
        <v>140.5692</v>
      </c>
      <c r="G65" s="78">
        <f>Anchoveta!I82</f>
        <v>65.88900000000001</v>
      </c>
      <c r="H65" s="78">
        <f>'Sardina comun'!I82</f>
        <v>196.10099999999997</v>
      </c>
      <c r="I65" s="78">
        <f t="shared" si="7"/>
        <v>261.99</v>
      </c>
      <c r="J65" s="78">
        <f>Anchoveta!J82+'Sardina comun'!J82</f>
        <v>0</v>
      </c>
      <c r="K65" s="1">
        <f>Anchoveta!K82</f>
        <v>103.47499999999999</v>
      </c>
      <c r="L65" s="1">
        <f>'Sardina comun'!K82</f>
        <v>-14.041999999999973</v>
      </c>
      <c r="M65" s="1">
        <f t="shared" si="8"/>
        <v>89.433000000000021</v>
      </c>
      <c r="N65" s="23">
        <f t="shared" si="9"/>
        <v>-14.041999999999973</v>
      </c>
      <c r="O65" s="30" t="s">
        <v>263</v>
      </c>
      <c r="P65" s="4">
        <f t="shared" si="10"/>
        <v>0.7455118190898149</v>
      </c>
      <c r="Q65" s="3">
        <f t="shared" si="11"/>
        <v>-3.9957544042364825E-2</v>
      </c>
    </row>
    <row r="66" spans="1:17">
      <c r="A66">
        <v>61</v>
      </c>
      <c r="B66" s="203"/>
      <c r="C66" s="11" t="s">
        <v>90</v>
      </c>
      <c r="D66" s="1" t="s">
        <v>18</v>
      </c>
      <c r="E66" s="1">
        <f>Anchoveta!H83+'Sardina comun'!H83</f>
        <v>4.7349999999999994</v>
      </c>
      <c r="F66" s="2">
        <f t="shared" si="6"/>
        <v>1.8939999999999999</v>
      </c>
      <c r="G66" s="78">
        <f>Anchoveta!I83</f>
        <v>0</v>
      </c>
      <c r="H66" s="78">
        <f>'Sardina comun'!I83</f>
        <v>0</v>
      </c>
      <c r="I66" s="78">
        <f t="shared" si="7"/>
        <v>0</v>
      </c>
      <c r="J66" s="78">
        <f>Anchoveta!J83+'Sardina comun'!J83</f>
        <v>0</v>
      </c>
      <c r="K66" s="1">
        <f>Anchoveta!K83</f>
        <v>2.282</v>
      </c>
      <c r="L66" s="1">
        <f>'Sardina comun'!K83</f>
        <v>2.4529999999999998</v>
      </c>
      <c r="M66" s="1">
        <f t="shared" si="8"/>
        <v>4.7349999999999994</v>
      </c>
      <c r="N66" s="21" t="str">
        <f t="shared" si="9"/>
        <v>0</v>
      </c>
      <c r="O66" s="73" t="s">
        <v>263</v>
      </c>
      <c r="P66" s="4">
        <f t="shared" si="10"/>
        <v>0</v>
      </c>
      <c r="Q66" s="3">
        <f t="shared" si="11"/>
        <v>0</v>
      </c>
    </row>
    <row r="67" spans="1:17">
      <c r="A67">
        <v>62</v>
      </c>
      <c r="B67" s="203"/>
      <c r="C67" s="11" t="s">
        <v>167</v>
      </c>
      <c r="D67" s="1" t="s">
        <v>18</v>
      </c>
      <c r="E67" s="1">
        <f>Anchoveta!H84+'Sardina comun'!H84</f>
        <v>14684.098</v>
      </c>
      <c r="F67" s="2">
        <f t="shared" si="6"/>
        <v>5873.6392000000005</v>
      </c>
      <c r="G67" s="78">
        <f>Anchoveta!I84</f>
        <v>2151.3470000000002</v>
      </c>
      <c r="H67" s="78">
        <f>'Sardina comun'!I84</f>
        <v>1610.3990000000001</v>
      </c>
      <c r="I67" s="78">
        <f t="shared" si="7"/>
        <v>3761.7460000000001</v>
      </c>
      <c r="J67" s="78">
        <f>Anchoveta!J84+'Sardina comun'!J84</f>
        <v>0</v>
      </c>
      <c r="K67" s="1">
        <f>Anchoveta!K84</f>
        <v>5004.4369999999999</v>
      </c>
      <c r="L67" s="1">
        <f>'Sardina comun'!K84</f>
        <v>5917.915</v>
      </c>
      <c r="M67" s="1">
        <f t="shared" si="8"/>
        <v>10922.351999999999</v>
      </c>
      <c r="N67" s="23" t="str">
        <f t="shared" si="9"/>
        <v>0</v>
      </c>
      <c r="O67" s="73" t="s">
        <v>263</v>
      </c>
      <c r="P67" s="4">
        <f t="shared" si="10"/>
        <v>0.25617821401082996</v>
      </c>
      <c r="Q67" s="3">
        <f t="shared" si="11"/>
        <v>0</v>
      </c>
    </row>
    <row r="68" spans="1:17">
      <c r="A68">
        <v>63</v>
      </c>
      <c r="B68" s="203"/>
      <c r="C68" s="11" t="s">
        <v>168</v>
      </c>
      <c r="D68" s="1" t="s">
        <v>18</v>
      </c>
      <c r="E68" s="1">
        <f>Anchoveta!H85+'Sardina comun'!H85</f>
        <v>3070.0940000000001</v>
      </c>
      <c r="F68" s="2">
        <f t="shared" si="6"/>
        <v>1228.0376000000001</v>
      </c>
      <c r="G68" s="78">
        <f>Anchoveta!I85</f>
        <v>532.35000000000014</v>
      </c>
      <c r="H68" s="78">
        <f>'Sardina comun'!I85</f>
        <v>642.32099999999991</v>
      </c>
      <c r="I68" s="78">
        <f t="shared" si="7"/>
        <v>1174.671</v>
      </c>
      <c r="J68" s="78">
        <f>Anchoveta!J85+'Sardina comun'!J85</f>
        <v>0</v>
      </c>
      <c r="K68" s="1">
        <f>Anchoveta!K85</f>
        <v>986.40899999999988</v>
      </c>
      <c r="L68" s="1">
        <f>'Sardina comun'!K85</f>
        <v>909.01400000000012</v>
      </c>
      <c r="M68" s="1">
        <f t="shared" si="8"/>
        <v>1895.423</v>
      </c>
      <c r="N68" s="23" t="str">
        <f t="shared" si="9"/>
        <v>0</v>
      </c>
      <c r="O68" s="30" t="s">
        <v>263</v>
      </c>
      <c r="P68" s="4">
        <f t="shared" si="10"/>
        <v>0.38261727491080078</v>
      </c>
      <c r="Q68" s="3">
        <f t="shared" si="11"/>
        <v>0</v>
      </c>
    </row>
    <row r="69" spans="1:17">
      <c r="A69">
        <v>64</v>
      </c>
      <c r="B69" s="203"/>
      <c r="C69" s="11" t="s">
        <v>169</v>
      </c>
      <c r="D69" s="1" t="s">
        <v>18</v>
      </c>
      <c r="E69" s="1">
        <f>Anchoveta!H86+'Sardina comun'!H86</f>
        <v>1167.6579999999999</v>
      </c>
      <c r="F69" s="2">
        <f t="shared" si="6"/>
        <v>467.06319999999999</v>
      </c>
      <c r="G69" s="78">
        <f>Anchoveta!I86</f>
        <v>209.24299999999999</v>
      </c>
      <c r="H69" s="78">
        <f>'Sardina comun'!I86</f>
        <v>297.24700000000007</v>
      </c>
      <c r="I69" s="78">
        <f t="shared" si="7"/>
        <v>506.49000000000007</v>
      </c>
      <c r="J69" s="78">
        <f>Anchoveta!J86+'Sardina comun'!J86</f>
        <v>0</v>
      </c>
      <c r="K69" s="1">
        <f>Anchoveta!K86</f>
        <v>353.49600000000004</v>
      </c>
      <c r="L69" s="1">
        <f>'Sardina comun'!K86</f>
        <v>307.67199999999991</v>
      </c>
      <c r="M69" s="1">
        <f t="shared" si="8"/>
        <v>661.16799999999989</v>
      </c>
      <c r="N69" s="23" t="str">
        <f t="shared" si="9"/>
        <v>0</v>
      </c>
      <c r="O69" s="30" t="s">
        <v>263</v>
      </c>
      <c r="P69" s="4">
        <f t="shared" si="10"/>
        <v>0.43376570879486981</v>
      </c>
      <c r="Q69" s="3">
        <f t="shared" si="11"/>
        <v>0</v>
      </c>
    </row>
    <row r="70" spans="1:17">
      <c r="A70">
        <v>65</v>
      </c>
      <c r="B70" s="203"/>
      <c r="C70" s="11" t="s">
        <v>280</v>
      </c>
      <c r="D70" s="1" t="s">
        <v>18</v>
      </c>
      <c r="E70" s="1">
        <f>Anchoveta!H87+'Sardina comun'!H87</f>
        <v>3996.8160000000003</v>
      </c>
      <c r="F70" s="2">
        <f t="shared" si="6"/>
        <v>1598.7264000000002</v>
      </c>
      <c r="G70" s="78">
        <f>Anchoveta!I87</f>
        <v>388.07900000000001</v>
      </c>
      <c r="H70" s="78">
        <f>'Sardina comun'!I87</f>
        <v>169.24700000000001</v>
      </c>
      <c r="I70" s="78">
        <f t="shared" si="7"/>
        <v>557.32600000000002</v>
      </c>
      <c r="J70" s="78">
        <f>Anchoveta!J87+'Sardina comun'!J87</f>
        <v>0</v>
      </c>
      <c r="K70" s="1">
        <f>Anchoveta!K87</f>
        <v>1465.365</v>
      </c>
      <c r="L70" s="1">
        <f>'Sardina comun'!K87</f>
        <v>1974.1250000000002</v>
      </c>
      <c r="M70" s="1">
        <f t="shared" si="8"/>
        <v>3439.4900000000002</v>
      </c>
      <c r="N70" s="21" t="str">
        <f t="shared" si="9"/>
        <v>0</v>
      </c>
      <c r="O70" s="73" t="s">
        <v>263</v>
      </c>
      <c r="P70" s="4">
        <f t="shared" si="10"/>
        <v>0.1394424962269967</v>
      </c>
      <c r="Q70" s="3">
        <f t="shared" si="11"/>
        <v>0</v>
      </c>
    </row>
    <row r="71" spans="1:17">
      <c r="A71">
        <v>66</v>
      </c>
      <c r="B71" s="203"/>
      <c r="C71" s="11" t="s">
        <v>170</v>
      </c>
      <c r="D71" s="1" t="s">
        <v>18</v>
      </c>
      <c r="E71" s="1">
        <f>Anchoveta!H88+'Sardina comun'!H88</f>
        <v>4884.4430000000002</v>
      </c>
      <c r="F71" s="2">
        <f t="shared" si="6"/>
        <v>1953.7772000000002</v>
      </c>
      <c r="G71" s="78">
        <f>Anchoveta!I88</f>
        <v>750.1389999999999</v>
      </c>
      <c r="H71" s="78">
        <f>'Sardina comun'!I88</f>
        <v>676.94200000000001</v>
      </c>
      <c r="I71" s="78">
        <f t="shared" si="7"/>
        <v>1427.0809999999999</v>
      </c>
      <c r="J71" s="78">
        <f>Anchoveta!J88+'Sardina comun'!J88</f>
        <v>0</v>
      </c>
      <c r="K71" s="1">
        <f>Anchoveta!K88</f>
        <v>1611.5000000000002</v>
      </c>
      <c r="L71" s="1">
        <f>'Sardina comun'!K88</f>
        <v>1845.8620000000001</v>
      </c>
      <c r="M71" s="1">
        <f t="shared" si="8"/>
        <v>3457.3620000000001</v>
      </c>
      <c r="N71" s="23" t="str">
        <f t="shared" si="9"/>
        <v>0</v>
      </c>
      <c r="O71" s="73" t="s">
        <v>263</v>
      </c>
      <c r="P71" s="4">
        <f t="shared" si="10"/>
        <v>0.29216862598253268</v>
      </c>
      <c r="Q71" s="3">
        <f t="shared" si="11"/>
        <v>0</v>
      </c>
    </row>
    <row r="72" spans="1:17">
      <c r="A72">
        <v>67</v>
      </c>
      <c r="B72" s="203"/>
      <c r="C72" s="11" t="s">
        <v>91</v>
      </c>
      <c r="D72" s="1" t="s">
        <v>18</v>
      </c>
      <c r="E72" s="1">
        <f>Anchoveta!H89+'Sardina comun'!H89</f>
        <v>6483.1319999999996</v>
      </c>
      <c r="F72" s="2">
        <f t="shared" si="6"/>
        <v>2593.2528000000002</v>
      </c>
      <c r="G72" s="78">
        <f>Anchoveta!I89</f>
        <v>543.25699999999995</v>
      </c>
      <c r="H72" s="78">
        <f>'Sardina comun'!I89</f>
        <v>171.98099999999999</v>
      </c>
      <c r="I72" s="78">
        <f t="shared" si="7"/>
        <v>715.23799999999994</v>
      </c>
      <c r="J72" s="78">
        <f>Anchoveta!J89+'Sardina comun'!J89</f>
        <v>0</v>
      </c>
      <c r="K72" s="1">
        <f>Anchoveta!K89</f>
        <v>2581.2129999999997</v>
      </c>
      <c r="L72" s="1">
        <f>'Sardina comun'!K89</f>
        <v>3186.6809999999996</v>
      </c>
      <c r="M72" s="1">
        <f t="shared" si="8"/>
        <v>5767.8939999999993</v>
      </c>
      <c r="N72" s="23" t="str">
        <f t="shared" si="9"/>
        <v>0</v>
      </c>
      <c r="O72" s="30" t="s">
        <v>263</v>
      </c>
      <c r="P72" s="4">
        <f t="shared" si="10"/>
        <v>0.11032291182718476</v>
      </c>
      <c r="Q72" s="3">
        <f t="shared" si="11"/>
        <v>0</v>
      </c>
    </row>
    <row r="73" spans="1:17">
      <c r="A73">
        <v>68</v>
      </c>
      <c r="B73" s="203"/>
      <c r="C73" s="11" t="s">
        <v>92</v>
      </c>
      <c r="D73" s="1" t="s">
        <v>18</v>
      </c>
      <c r="E73" s="1">
        <f>Anchoveta!H90+'Sardina comun'!H90</f>
        <v>624.20499999999993</v>
      </c>
      <c r="F73" s="2">
        <f t="shared" si="6"/>
        <v>249.68199999999999</v>
      </c>
      <c r="G73" s="78">
        <f>Anchoveta!I90</f>
        <v>213.886</v>
      </c>
      <c r="H73" s="78">
        <f>'Sardina comun'!I90</f>
        <v>234.37099999999998</v>
      </c>
      <c r="I73" s="78">
        <f t="shared" si="7"/>
        <v>448.25699999999995</v>
      </c>
      <c r="J73" s="78">
        <f>Anchoveta!J90+'Sardina comun'!J90</f>
        <v>0</v>
      </c>
      <c r="K73" s="1">
        <f>Anchoveta!K90</f>
        <v>60.554000000000002</v>
      </c>
      <c r="L73" s="1">
        <f>'Sardina comun'!K90</f>
        <v>115.39400000000001</v>
      </c>
      <c r="M73" s="1">
        <f t="shared" si="8"/>
        <v>175.94800000000001</v>
      </c>
      <c r="N73" s="23" t="str">
        <f t="shared" si="9"/>
        <v>0</v>
      </c>
      <c r="O73" s="30" t="s">
        <v>263</v>
      </c>
      <c r="P73" s="4">
        <f t="shared" si="10"/>
        <v>0.71812465456060104</v>
      </c>
      <c r="Q73" s="3">
        <f t="shared" si="11"/>
        <v>0</v>
      </c>
    </row>
    <row r="74" spans="1:17">
      <c r="A74">
        <v>69</v>
      </c>
      <c r="B74" s="203"/>
      <c r="C74" s="11" t="s">
        <v>93</v>
      </c>
      <c r="D74" s="1" t="s">
        <v>18</v>
      </c>
      <c r="E74" s="1">
        <f>Anchoveta!H91+'Sardina comun'!H91</f>
        <v>2228.8829999999998</v>
      </c>
      <c r="F74" s="2">
        <f t="shared" si="6"/>
        <v>891.55319999999995</v>
      </c>
      <c r="G74" s="78">
        <f>Anchoveta!I91</f>
        <v>392.55400000000003</v>
      </c>
      <c r="H74" s="78">
        <f>'Sardina comun'!I91</f>
        <v>584.21299999999997</v>
      </c>
      <c r="I74" s="78">
        <f t="shared" si="7"/>
        <v>976.76700000000005</v>
      </c>
      <c r="J74" s="78">
        <f>Anchoveta!J91+'Sardina comun'!J91</f>
        <v>0</v>
      </c>
      <c r="K74" s="1">
        <f>Anchoveta!K91</f>
        <v>681.62999999999988</v>
      </c>
      <c r="L74" s="1">
        <f>'Sardina comun'!K91</f>
        <v>570.4860000000001</v>
      </c>
      <c r="M74" s="1">
        <f t="shared" si="8"/>
        <v>1252.116</v>
      </c>
      <c r="N74" s="21" t="str">
        <f t="shared" si="9"/>
        <v>0</v>
      </c>
      <c r="O74" s="73" t="s">
        <v>263</v>
      </c>
      <c r="P74" s="4">
        <f t="shared" si="10"/>
        <v>0.43823161646439052</v>
      </c>
      <c r="Q74" s="3">
        <f t="shared" si="11"/>
        <v>0</v>
      </c>
    </row>
    <row r="75" spans="1:17">
      <c r="A75">
        <v>70</v>
      </c>
      <c r="B75" s="203"/>
      <c r="C75" s="11" t="s">
        <v>94</v>
      </c>
      <c r="D75" s="1" t="s">
        <v>18</v>
      </c>
      <c r="E75" s="1">
        <f>Anchoveta!H92+'Sardina comun'!H92</f>
        <v>247.10499999999999</v>
      </c>
      <c r="F75" s="2">
        <f t="shared" ref="F75:F88" si="12">E75*0.4</f>
        <v>98.841999999999999</v>
      </c>
      <c r="G75" s="78">
        <f>Anchoveta!I92</f>
        <v>38.088000000000001</v>
      </c>
      <c r="H75" s="78">
        <f>'Sardina comun'!I92</f>
        <v>183.58700000000002</v>
      </c>
      <c r="I75" s="78">
        <f t="shared" ref="I75:I88" si="13">G75+H75</f>
        <v>221.67500000000001</v>
      </c>
      <c r="J75" s="78">
        <f>Anchoveta!J92+'Sardina comun'!J92</f>
        <v>0</v>
      </c>
      <c r="K75" s="1">
        <f>Anchoveta!K92</f>
        <v>71.615000000000009</v>
      </c>
      <c r="L75" s="1">
        <f>'Sardina comun'!K92</f>
        <v>-46.185000000000031</v>
      </c>
      <c r="M75" s="1">
        <f t="shared" ref="M75:M88" si="14">K75+L75</f>
        <v>25.429999999999978</v>
      </c>
      <c r="N75" s="23">
        <f t="shared" ref="N75:N88" si="15">IF(K75&lt;0,K75,IF(K75&lt;0,L75,IF(L75&lt;0,L75,IF(L75&gt;0,"0","0"))))</f>
        <v>-46.185000000000031</v>
      </c>
      <c r="O75" s="73" t="s">
        <v>263</v>
      </c>
      <c r="P75" s="4">
        <f t="shared" ref="P75:P88" si="16">(I75+J75)/E75</f>
        <v>0.89708828230913995</v>
      </c>
      <c r="Q75" s="3">
        <f t="shared" ref="Q75:Q88" si="17">N75/E75</f>
        <v>-0.18690435240080142</v>
      </c>
    </row>
    <row r="76" spans="1:17">
      <c r="A76">
        <v>71</v>
      </c>
      <c r="B76" s="203"/>
      <c r="C76" s="11" t="s">
        <v>95</v>
      </c>
      <c r="D76" s="1" t="s">
        <v>18</v>
      </c>
      <c r="E76" s="1">
        <f>Anchoveta!H93+'Sardina comun'!H93</f>
        <v>1.999999999998181E-2</v>
      </c>
      <c r="F76" s="2">
        <f t="shared" si="12"/>
        <v>7.9999999999927247E-3</v>
      </c>
      <c r="G76" s="78">
        <f>Anchoveta!I93</f>
        <v>0</v>
      </c>
      <c r="H76" s="78">
        <f>'Sardina comun'!I93</f>
        <v>0</v>
      </c>
      <c r="I76" s="78">
        <f t="shared" si="13"/>
        <v>0</v>
      </c>
      <c r="J76" s="78">
        <f>Anchoveta!J93+'Sardina comun'!J93</f>
        <v>0</v>
      </c>
      <c r="K76" s="1">
        <f>Anchoveta!K93</f>
        <v>0</v>
      </c>
      <c r="L76" s="1">
        <f>'Sardina comun'!K93</f>
        <v>1.999999999998181E-2</v>
      </c>
      <c r="M76" s="1">
        <f t="shared" si="14"/>
        <v>1.999999999998181E-2</v>
      </c>
      <c r="N76" s="23" t="str">
        <f t="shared" si="15"/>
        <v>0</v>
      </c>
      <c r="O76" s="30" t="s">
        <v>263</v>
      </c>
      <c r="P76" s="4">
        <f t="shared" si="16"/>
        <v>0</v>
      </c>
      <c r="Q76" s="3">
        <f t="shared" si="17"/>
        <v>0</v>
      </c>
    </row>
    <row r="77" spans="1:17">
      <c r="A77">
        <v>72</v>
      </c>
      <c r="B77" s="203"/>
      <c r="C77" s="11" t="s">
        <v>96</v>
      </c>
      <c r="D77" s="1" t="s">
        <v>18</v>
      </c>
      <c r="E77" s="1">
        <f>Anchoveta!H94+'Sardina comun'!H94</f>
        <v>3708.7870000000003</v>
      </c>
      <c r="F77" s="2">
        <f t="shared" si="12"/>
        <v>1483.5148000000002</v>
      </c>
      <c r="G77" s="78">
        <f>Anchoveta!I94</f>
        <v>359.24200000000002</v>
      </c>
      <c r="H77" s="78">
        <f>'Sardina comun'!I94</f>
        <v>163.946</v>
      </c>
      <c r="I77" s="78">
        <f t="shared" si="13"/>
        <v>523.18799999999999</v>
      </c>
      <c r="J77" s="78">
        <f>Anchoveta!J94+'Sardina comun'!J94</f>
        <v>0</v>
      </c>
      <c r="K77" s="1">
        <f>Anchoveta!K94</f>
        <v>1428.165</v>
      </c>
      <c r="L77" s="1">
        <f>'Sardina comun'!K94</f>
        <v>1757.4340000000002</v>
      </c>
      <c r="M77" s="1">
        <f t="shared" si="14"/>
        <v>3185.5990000000002</v>
      </c>
      <c r="N77" s="23" t="str">
        <f t="shared" si="15"/>
        <v>0</v>
      </c>
      <c r="O77" s="30" t="s">
        <v>263</v>
      </c>
      <c r="P77" s="4">
        <f t="shared" si="16"/>
        <v>0.14106714675175466</v>
      </c>
      <c r="Q77" s="3">
        <f t="shared" si="17"/>
        <v>0</v>
      </c>
    </row>
    <row r="78" spans="1:17">
      <c r="A78">
        <v>73</v>
      </c>
      <c r="B78" s="203"/>
      <c r="C78" s="11" t="s">
        <v>97</v>
      </c>
      <c r="D78" s="1" t="s">
        <v>18</v>
      </c>
      <c r="E78" s="1">
        <f>Anchoveta!H95+'Sardina comun'!H95</f>
        <v>4193.5010000000002</v>
      </c>
      <c r="F78" s="2">
        <f t="shared" si="12"/>
        <v>1677.4004000000002</v>
      </c>
      <c r="G78" s="78">
        <f>Anchoveta!I95</f>
        <v>411.47799999999995</v>
      </c>
      <c r="H78" s="78">
        <f>'Sardina comun'!I95</f>
        <v>358.82900000000006</v>
      </c>
      <c r="I78" s="78">
        <f t="shared" si="13"/>
        <v>770.30700000000002</v>
      </c>
      <c r="J78" s="78">
        <f>Anchoveta!J95+'Sardina comun'!J95</f>
        <v>0</v>
      </c>
      <c r="K78" s="1">
        <f>Anchoveta!K95</f>
        <v>1609.5309999999999</v>
      </c>
      <c r="L78" s="1">
        <f>'Sardina comun'!K95</f>
        <v>1813.663</v>
      </c>
      <c r="M78" s="1">
        <f t="shared" si="14"/>
        <v>3423.194</v>
      </c>
      <c r="N78" s="21" t="str">
        <f t="shared" si="15"/>
        <v>0</v>
      </c>
      <c r="O78" s="73" t="s">
        <v>263</v>
      </c>
      <c r="P78" s="4">
        <f t="shared" si="16"/>
        <v>0.18369066801224085</v>
      </c>
      <c r="Q78" s="3">
        <f t="shared" si="17"/>
        <v>0</v>
      </c>
    </row>
    <row r="79" spans="1:17">
      <c r="A79">
        <v>74</v>
      </c>
      <c r="B79" s="203"/>
      <c r="C79" s="11" t="s">
        <v>98</v>
      </c>
      <c r="D79" s="1" t="s">
        <v>18</v>
      </c>
      <c r="E79" s="1">
        <f>Anchoveta!H96+'Sardina comun'!H96</f>
        <v>6055.299</v>
      </c>
      <c r="F79" s="2">
        <f t="shared" si="12"/>
        <v>2422.1196</v>
      </c>
      <c r="G79" s="78">
        <f>Anchoveta!I96</f>
        <v>2199.1949999999997</v>
      </c>
      <c r="H79" s="78">
        <f>'Sardina comun'!I96</f>
        <v>212.59999999999997</v>
      </c>
      <c r="I79" s="78">
        <f t="shared" si="13"/>
        <v>2411.7949999999996</v>
      </c>
      <c r="J79" s="78">
        <f>Anchoveta!J96+'Sardina comun'!J96</f>
        <v>0</v>
      </c>
      <c r="K79" s="1">
        <f>Anchoveta!K96</f>
        <v>835.95800000000008</v>
      </c>
      <c r="L79" s="1">
        <f>'Sardina comun'!K96</f>
        <v>2807.5460000000003</v>
      </c>
      <c r="M79" s="1">
        <f t="shared" si="14"/>
        <v>3643.5040000000004</v>
      </c>
      <c r="N79" s="23" t="str">
        <f t="shared" si="15"/>
        <v>0</v>
      </c>
      <c r="O79" s="73" t="s">
        <v>263</v>
      </c>
      <c r="P79" s="4">
        <f t="shared" si="16"/>
        <v>0.39829494794559273</v>
      </c>
      <c r="Q79" s="3">
        <f t="shared" si="17"/>
        <v>0</v>
      </c>
    </row>
    <row r="80" spans="1:17">
      <c r="A80">
        <v>75</v>
      </c>
      <c r="B80" s="203"/>
      <c r="C80" s="11" t="s">
        <v>171</v>
      </c>
      <c r="D80" s="1" t="s">
        <v>18</v>
      </c>
      <c r="E80" s="1">
        <f>Anchoveta!H97+'Sardina comun'!H97</f>
        <v>1963.548</v>
      </c>
      <c r="F80" s="2">
        <f t="shared" si="12"/>
        <v>785.41920000000005</v>
      </c>
      <c r="G80" s="78">
        <f>Anchoveta!I97</f>
        <v>57.412000000000006</v>
      </c>
      <c r="H80" s="78">
        <f>'Sardina comun'!I97</f>
        <v>4.5</v>
      </c>
      <c r="I80" s="78">
        <f t="shared" si="13"/>
        <v>61.912000000000006</v>
      </c>
      <c r="J80" s="78">
        <f>Anchoveta!J97+'Sardina comun'!J97</f>
        <v>0</v>
      </c>
      <c r="K80" s="1">
        <f>Anchoveta!K97</f>
        <v>888.89699999999993</v>
      </c>
      <c r="L80" s="1">
        <f>'Sardina comun'!K97</f>
        <v>1012.739</v>
      </c>
      <c r="M80" s="1">
        <f t="shared" si="14"/>
        <v>1901.636</v>
      </c>
      <c r="N80" s="23" t="str">
        <f t="shared" si="15"/>
        <v>0</v>
      </c>
      <c r="O80" s="30" t="s">
        <v>263</v>
      </c>
      <c r="P80" s="4">
        <f t="shared" si="16"/>
        <v>3.1530678139775552E-2</v>
      </c>
      <c r="Q80" s="3">
        <f t="shared" si="17"/>
        <v>0</v>
      </c>
    </row>
    <row r="81" spans="1:17">
      <c r="A81">
        <v>76</v>
      </c>
      <c r="B81" s="203"/>
      <c r="C81" s="11" t="s">
        <v>172</v>
      </c>
      <c r="D81" s="1" t="s">
        <v>18</v>
      </c>
      <c r="E81" s="1">
        <f>Anchoveta!H98+'Sardina comun'!H98</f>
        <v>29.204000000000001</v>
      </c>
      <c r="F81" s="2">
        <f t="shared" si="12"/>
        <v>11.681600000000001</v>
      </c>
      <c r="G81" s="78">
        <f>Anchoveta!I98</f>
        <v>7.8209999999999997</v>
      </c>
      <c r="H81" s="78">
        <f>'Sardina comun'!I98</f>
        <v>1.6040000000000001</v>
      </c>
      <c r="I81" s="78">
        <f t="shared" si="13"/>
        <v>9.4250000000000007</v>
      </c>
      <c r="J81" s="78">
        <f>Anchoveta!J98+'Sardina comun'!J98</f>
        <v>0</v>
      </c>
      <c r="K81" s="1">
        <f>Anchoveta!K98</f>
        <v>6.2530000000000001</v>
      </c>
      <c r="L81" s="1">
        <f>'Sardina comun'!K98</f>
        <v>13.526</v>
      </c>
      <c r="M81" s="1">
        <f t="shared" si="14"/>
        <v>19.779</v>
      </c>
      <c r="N81" s="23" t="str">
        <f t="shared" si="15"/>
        <v>0</v>
      </c>
      <c r="O81" s="30" t="s">
        <v>263</v>
      </c>
      <c r="P81" s="4">
        <f t="shared" si="16"/>
        <v>0.32272976304615808</v>
      </c>
      <c r="Q81" s="3">
        <f t="shared" si="17"/>
        <v>0</v>
      </c>
    </row>
    <row r="82" spans="1:17">
      <c r="A82">
        <v>77</v>
      </c>
      <c r="B82" s="203"/>
      <c r="C82" s="11" t="s">
        <v>288</v>
      </c>
      <c r="D82" s="1" t="s">
        <v>18</v>
      </c>
      <c r="E82" s="1">
        <f>Anchoveta!H99+'Sardina comun'!H99</f>
        <v>826.18200000000002</v>
      </c>
      <c r="F82" s="2">
        <f t="shared" si="12"/>
        <v>330.47280000000001</v>
      </c>
      <c r="G82" s="78">
        <f>Anchoveta!I99</f>
        <v>106.63399999999999</v>
      </c>
      <c r="H82" s="78">
        <f>'Sardina comun'!I99</f>
        <v>327.32900000000001</v>
      </c>
      <c r="I82" s="78">
        <f t="shared" si="13"/>
        <v>433.96299999999997</v>
      </c>
      <c r="J82" s="78">
        <f>Anchoveta!J99+'Sardina comun'!J99</f>
        <v>0</v>
      </c>
      <c r="K82" s="1">
        <f>Anchoveta!K99</f>
        <v>291.53399999999999</v>
      </c>
      <c r="L82" s="1">
        <f>'Sardina comun'!K99</f>
        <v>100.685</v>
      </c>
      <c r="M82" s="1">
        <f t="shared" si="14"/>
        <v>392.21899999999999</v>
      </c>
      <c r="N82" s="21" t="str">
        <f t="shared" si="15"/>
        <v>0</v>
      </c>
      <c r="O82" s="73" t="s">
        <v>263</v>
      </c>
      <c r="P82" s="4">
        <f t="shared" si="16"/>
        <v>0.52526319866566928</v>
      </c>
      <c r="Q82" s="3">
        <f t="shared" si="17"/>
        <v>0</v>
      </c>
    </row>
    <row r="83" spans="1:17">
      <c r="A83">
        <v>78</v>
      </c>
      <c r="B83" s="203"/>
      <c r="C83" s="11" t="s">
        <v>99</v>
      </c>
      <c r="D83" s="1" t="s">
        <v>18</v>
      </c>
      <c r="E83" s="1">
        <f>Anchoveta!H100+'Sardina comun'!H100</f>
        <v>3136.1109999999999</v>
      </c>
      <c r="F83" s="2">
        <f t="shared" si="12"/>
        <v>1254.4444000000001</v>
      </c>
      <c r="G83" s="78">
        <f>Anchoveta!I100</f>
        <v>524.02</v>
      </c>
      <c r="H83" s="78">
        <f>'Sardina comun'!I100</f>
        <v>850.01099999999997</v>
      </c>
      <c r="I83" s="78">
        <f t="shared" si="13"/>
        <v>1374.0309999999999</v>
      </c>
      <c r="J83" s="78">
        <f>Anchoveta!J100+'Sardina comun'!J100</f>
        <v>0</v>
      </c>
      <c r="K83" s="1">
        <f>Anchoveta!K100</f>
        <v>987.39200000000005</v>
      </c>
      <c r="L83" s="1">
        <f>'Sardina comun'!K100</f>
        <v>774.6880000000001</v>
      </c>
      <c r="M83" s="1">
        <f t="shared" si="14"/>
        <v>1762.0800000000002</v>
      </c>
      <c r="N83" s="23" t="str">
        <f t="shared" si="15"/>
        <v>0</v>
      </c>
      <c r="O83" s="73" t="s">
        <v>263</v>
      </c>
      <c r="P83" s="4">
        <f t="shared" si="16"/>
        <v>0.43813213244046528</v>
      </c>
      <c r="Q83" s="3">
        <f t="shared" si="17"/>
        <v>0</v>
      </c>
    </row>
    <row r="84" spans="1:17">
      <c r="A84">
        <v>79</v>
      </c>
      <c r="B84" s="203"/>
      <c r="C84" s="11" t="s">
        <v>100</v>
      </c>
      <c r="D84" s="1" t="s">
        <v>18</v>
      </c>
      <c r="E84" s="1">
        <f>Anchoveta!H101+'Sardina comun'!H101</f>
        <v>19635.006999999998</v>
      </c>
      <c r="F84" s="2">
        <f t="shared" si="12"/>
        <v>7854.0027999999993</v>
      </c>
      <c r="G84" s="78">
        <f>Anchoveta!I101</f>
        <v>3703.4959999999996</v>
      </c>
      <c r="H84" s="78">
        <f>'Sardina comun'!I101</f>
        <v>1433.1889999999999</v>
      </c>
      <c r="I84" s="78">
        <f t="shared" si="13"/>
        <v>5136.6849999999995</v>
      </c>
      <c r="J84" s="78">
        <f>Anchoveta!J101+'Sardina comun'!J101</f>
        <v>0</v>
      </c>
      <c r="K84" s="1">
        <f>Anchoveta!K101</f>
        <v>5486.1090000000004</v>
      </c>
      <c r="L84" s="1">
        <f>'Sardina comun'!K101</f>
        <v>9012.2129999999997</v>
      </c>
      <c r="M84" s="1">
        <f t="shared" si="14"/>
        <v>14498.322</v>
      </c>
      <c r="N84" s="23" t="str">
        <f t="shared" si="15"/>
        <v>0</v>
      </c>
      <c r="O84" s="30" t="s">
        <v>263</v>
      </c>
      <c r="P84" s="4">
        <f t="shared" si="16"/>
        <v>0.26160851381412803</v>
      </c>
      <c r="Q84" s="3">
        <f t="shared" si="17"/>
        <v>0</v>
      </c>
    </row>
    <row r="85" spans="1:17">
      <c r="A85">
        <v>80</v>
      </c>
      <c r="B85" s="203"/>
      <c r="C85" s="11" t="s">
        <v>281</v>
      </c>
      <c r="D85" s="1" t="s">
        <v>18</v>
      </c>
      <c r="E85" s="1">
        <f>Anchoveta!H102+'Sardina comun'!H102</f>
        <v>110.70399999999999</v>
      </c>
      <c r="F85" s="2">
        <f t="shared" si="12"/>
        <v>44.281599999999997</v>
      </c>
      <c r="G85" s="78">
        <f>Anchoveta!I102</f>
        <v>0</v>
      </c>
      <c r="H85" s="78">
        <f>'Sardina comun'!I102</f>
        <v>0</v>
      </c>
      <c r="I85" s="78">
        <f t="shared" si="13"/>
        <v>0</v>
      </c>
      <c r="J85" s="78">
        <f>Anchoveta!J102+'Sardina comun'!J102</f>
        <v>0</v>
      </c>
      <c r="K85" s="1">
        <f>Anchoveta!K102</f>
        <v>53.351999999999997</v>
      </c>
      <c r="L85" s="1">
        <f>'Sardina comun'!K102</f>
        <v>57.351999999999997</v>
      </c>
      <c r="M85" s="1">
        <f t="shared" si="14"/>
        <v>110.70399999999999</v>
      </c>
      <c r="N85" s="23" t="str">
        <f t="shared" si="15"/>
        <v>0</v>
      </c>
      <c r="O85" s="30" t="s">
        <v>263</v>
      </c>
      <c r="P85" s="4">
        <f t="shared" si="16"/>
        <v>0</v>
      </c>
      <c r="Q85" s="3">
        <f t="shared" si="17"/>
        <v>0</v>
      </c>
    </row>
    <row r="86" spans="1:17">
      <c r="A86">
        <v>81</v>
      </c>
      <c r="B86" s="203"/>
      <c r="C86" s="11" t="s">
        <v>248</v>
      </c>
      <c r="D86" s="1" t="s">
        <v>18</v>
      </c>
      <c r="E86" s="1">
        <f>Anchoveta!H103+'Sardina comun'!H103</f>
        <v>159.19499999999999</v>
      </c>
      <c r="F86" s="2">
        <f t="shared" si="12"/>
        <v>63.677999999999997</v>
      </c>
      <c r="G86" s="78">
        <f>Anchoveta!I103</f>
        <v>25.410999999999998</v>
      </c>
      <c r="H86" s="78">
        <f>'Sardina comun'!I103</f>
        <v>88.040999999999997</v>
      </c>
      <c r="I86" s="78">
        <f t="shared" si="13"/>
        <v>113.452</v>
      </c>
      <c r="J86" s="78">
        <f>Anchoveta!J103+'Sardina comun'!J103</f>
        <v>0</v>
      </c>
      <c r="K86" s="1">
        <f>Anchoveta!K103</f>
        <v>51.310999999999993</v>
      </c>
      <c r="L86" s="1">
        <f>'Sardina comun'!K103</f>
        <v>-5.5679999999999978</v>
      </c>
      <c r="M86" s="1">
        <f t="shared" si="14"/>
        <v>45.742999999999995</v>
      </c>
      <c r="N86" s="23">
        <f t="shared" si="15"/>
        <v>-5.5679999999999978</v>
      </c>
      <c r="O86" s="73" t="s">
        <v>263</v>
      </c>
      <c r="P86" s="4">
        <f t="shared" si="16"/>
        <v>0.71266057351047463</v>
      </c>
      <c r="Q86" s="3">
        <f t="shared" si="17"/>
        <v>-3.4975972863469318E-2</v>
      </c>
    </row>
    <row r="87" spans="1:17">
      <c r="A87">
        <v>82</v>
      </c>
      <c r="B87" s="203"/>
      <c r="C87" s="11" t="s">
        <v>101</v>
      </c>
      <c r="D87" s="1" t="s">
        <v>18</v>
      </c>
      <c r="E87" s="1">
        <f>Anchoveta!H104+'Sardina comun'!H104</f>
        <v>3857.0259999999998</v>
      </c>
      <c r="F87" s="2">
        <f t="shared" si="12"/>
        <v>1542.8104000000001</v>
      </c>
      <c r="G87" s="78">
        <f>Anchoveta!I104</f>
        <v>595.72200000000009</v>
      </c>
      <c r="H87" s="78">
        <f>'Sardina comun'!I104</f>
        <v>442.12899999999996</v>
      </c>
      <c r="I87" s="78">
        <f t="shared" si="13"/>
        <v>1037.8510000000001</v>
      </c>
      <c r="J87" s="78">
        <f>Anchoveta!J104+'Sardina comun'!J104</f>
        <v>0</v>
      </c>
      <c r="K87" s="1">
        <f>Anchoveta!K104</f>
        <v>1231.453</v>
      </c>
      <c r="L87" s="1">
        <f>'Sardina comun'!K104</f>
        <v>1587.7220000000002</v>
      </c>
      <c r="M87" s="1">
        <f t="shared" si="14"/>
        <v>2819.1750000000002</v>
      </c>
      <c r="N87" s="23" t="str">
        <f t="shared" si="15"/>
        <v>0</v>
      </c>
      <c r="O87" s="30" t="s">
        <v>263</v>
      </c>
      <c r="P87" s="4">
        <f t="shared" si="16"/>
        <v>0.26908063362808549</v>
      </c>
      <c r="Q87" s="3">
        <f t="shared" si="17"/>
        <v>0</v>
      </c>
    </row>
    <row r="88" spans="1:17">
      <c r="A88">
        <v>83</v>
      </c>
      <c r="B88" s="203"/>
      <c r="C88" s="11" t="s">
        <v>102</v>
      </c>
      <c r="D88" s="1" t="s">
        <v>18</v>
      </c>
      <c r="E88" s="1">
        <f>Anchoveta!H105+'Sardina comun'!H105</f>
        <v>42.756</v>
      </c>
      <c r="F88" s="2">
        <f t="shared" si="12"/>
        <v>17.102399999999999</v>
      </c>
      <c r="G88" s="78">
        <f>Anchoveta!I105</f>
        <v>0</v>
      </c>
      <c r="H88" s="78">
        <f>'Sardina comun'!I105</f>
        <v>22.72</v>
      </c>
      <c r="I88" s="78">
        <f t="shared" si="13"/>
        <v>22.72</v>
      </c>
      <c r="J88" s="78">
        <f>Anchoveta!J105+'Sardina comun'!J105</f>
        <v>0</v>
      </c>
      <c r="K88" s="1">
        <f>Anchoveta!K105</f>
        <v>20.605</v>
      </c>
      <c r="L88" s="1">
        <f>'Sardina comun'!K105</f>
        <v>-0.56899999999999906</v>
      </c>
      <c r="M88" s="1">
        <f t="shared" si="14"/>
        <v>20.036000000000001</v>
      </c>
      <c r="N88" s="23">
        <f t="shared" si="15"/>
        <v>-0.56899999999999906</v>
      </c>
      <c r="O88" s="73">
        <f>Anchoveta!M105</f>
        <v>45359</v>
      </c>
      <c r="P88" s="4">
        <f t="shared" si="16"/>
        <v>0.53138740761530545</v>
      </c>
      <c r="Q88" s="3">
        <f t="shared" si="17"/>
        <v>-1.3308073720647372E-2</v>
      </c>
    </row>
  </sheetData>
  <mergeCells count="3">
    <mergeCell ref="B6:B88"/>
    <mergeCell ref="B2:Q2"/>
    <mergeCell ref="B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I13"/>
  <sheetViews>
    <sheetView workbookViewId="0">
      <selection activeCell="F8" sqref="F8"/>
    </sheetView>
  </sheetViews>
  <sheetFormatPr baseColWidth="10" defaultRowHeight="15"/>
  <cols>
    <col min="2" max="2" width="25.85546875" customWidth="1"/>
    <col min="3" max="3" width="30.5703125" customWidth="1"/>
    <col min="4" max="4" width="14.7109375" customWidth="1"/>
    <col min="5" max="5" width="14.140625" customWidth="1"/>
    <col min="6" max="6" width="12.42578125" customWidth="1"/>
    <col min="7" max="7" width="12.7109375" customWidth="1"/>
  </cols>
  <sheetData>
    <row r="1" spans="3:9" ht="24.75" customHeight="1"/>
    <row r="2" spans="3:9">
      <c r="C2" s="206" t="s">
        <v>334</v>
      </c>
      <c r="D2" s="206"/>
      <c r="E2" s="206"/>
      <c r="F2" s="206"/>
      <c r="G2" s="206"/>
      <c r="H2" s="206"/>
    </row>
    <row r="3" spans="3:9">
      <c r="C3" s="207"/>
      <c r="D3" s="208"/>
      <c r="E3" s="208"/>
      <c r="F3" s="208"/>
      <c r="G3" s="208"/>
      <c r="H3" s="208"/>
    </row>
    <row r="5" spans="3:9" ht="31.5" customHeight="1">
      <c r="C5" s="45" t="s">
        <v>177</v>
      </c>
      <c r="D5" s="45" t="s">
        <v>180</v>
      </c>
      <c r="E5" s="46" t="s">
        <v>178</v>
      </c>
      <c r="F5" s="46" t="s">
        <v>179</v>
      </c>
      <c r="G5" s="47" t="s">
        <v>183</v>
      </c>
      <c r="H5" s="48" t="s">
        <v>184</v>
      </c>
      <c r="I5" s="45" t="s">
        <v>36</v>
      </c>
    </row>
    <row r="6" spans="3:9">
      <c r="C6" s="209" t="s">
        <v>325</v>
      </c>
      <c r="D6" s="30" t="s">
        <v>181</v>
      </c>
      <c r="E6" s="30">
        <v>863.2</v>
      </c>
      <c r="F6" s="30">
        <f>177.073+3.28</f>
        <v>180.35300000000001</v>
      </c>
      <c r="G6" s="30">
        <f>E6-F6</f>
        <v>682.84699999999998</v>
      </c>
      <c r="H6" s="205">
        <f>G6+G7</f>
        <v>1484.5990000000002</v>
      </c>
      <c r="I6" s="30"/>
    </row>
    <row r="7" spans="3:9">
      <c r="C7" s="209"/>
      <c r="D7" s="30" t="s">
        <v>182</v>
      </c>
      <c r="E7" s="30">
        <v>1186.4000000000001</v>
      </c>
      <c r="F7" s="30">
        <f>365.67+18.978</f>
        <v>384.64800000000002</v>
      </c>
      <c r="G7" s="30">
        <f t="shared" ref="G7:G11" si="0">E7-F7</f>
        <v>801.75200000000007</v>
      </c>
      <c r="H7" s="205"/>
      <c r="I7" s="30"/>
    </row>
    <row r="8" spans="3:9">
      <c r="C8" s="209" t="s">
        <v>326</v>
      </c>
      <c r="D8" s="30" t="s">
        <v>181</v>
      </c>
      <c r="E8" s="30">
        <v>323.7</v>
      </c>
      <c r="F8" s="30"/>
      <c r="G8" s="30">
        <f t="shared" si="0"/>
        <v>323.7</v>
      </c>
      <c r="H8" s="205">
        <f>G8+G9</f>
        <v>694.45</v>
      </c>
      <c r="I8" s="30"/>
    </row>
    <row r="9" spans="3:9">
      <c r="C9" s="209"/>
      <c r="D9" s="30" t="s">
        <v>182</v>
      </c>
      <c r="E9" s="30">
        <v>370.75</v>
      </c>
      <c r="F9" s="30"/>
      <c r="G9" s="30">
        <f t="shared" si="0"/>
        <v>370.75</v>
      </c>
      <c r="H9" s="205"/>
      <c r="I9" s="30"/>
    </row>
    <row r="10" spans="3:9">
      <c r="C10" s="209" t="s">
        <v>327</v>
      </c>
      <c r="D10" s="30" t="s">
        <v>181</v>
      </c>
      <c r="E10" s="30">
        <v>755.3</v>
      </c>
      <c r="F10" s="30">
        <v>498.72800000000001</v>
      </c>
      <c r="G10" s="30">
        <f t="shared" si="0"/>
        <v>256.57199999999995</v>
      </c>
      <c r="H10" s="205">
        <f>G10+G11</f>
        <v>684.10599999999999</v>
      </c>
      <c r="I10" s="30"/>
    </row>
    <row r="11" spans="3:9">
      <c r="C11" s="209"/>
      <c r="D11" s="30" t="s">
        <v>182</v>
      </c>
      <c r="E11" s="30">
        <v>1112.25</v>
      </c>
      <c r="F11" s="30">
        <v>684.71600000000001</v>
      </c>
      <c r="G11" s="30">
        <f t="shared" si="0"/>
        <v>427.53399999999999</v>
      </c>
      <c r="H11" s="205"/>
      <c r="I11" s="30"/>
    </row>
    <row r="12" spans="3:9">
      <c r="C12" s="205" t="s">
        <v>329</v>
      </c>
      <c r="D12" s="30" t="s">
        <v>181</v>
      </c>
      <c r="E12" s="30">
        <v>215.8</v>
      </c>
      <c r="F12" s="30"/>
      <c r="G12" s="30">
        <f t="shared" ref="G12:G13" si="1">E12-F12</f>
        <v>215.8</v>
      </c>
      <c r="H12" s="205">
        <f>G12+G13</f>
        <v>512.40000000000009</v>
      </c>
      <c r="I12" s="30"/>
    </row>
    <row r="13" spans="3:9">
      <c r="C13" s="205"/>
      <c r="D13" s="30" t="s">
        <v>182</v>
      </c>
      <c r="E13" s="30">
        <v>296.60000000000002</v>
      </c>
      <c r="F13" s="30"/>
      <c r="G13" s="30">
        <f t="shared" si="1"/>
        <v>296.60000000000002</v>
      </c>
      <c r="H13" s="205"/>
      <c r="I13" s="30"/>
    </row>
  </sheetData>
  <mergeCells count="10">
    <mergeCell ref="H12:H13"/>
    <mergeCell ref="C12:C13"/>
    <mergeCell ref="C2:H2"/>
    <mergeCell ref="C3:H3"/>
    <mergeCell ref="C6:C7"/>
    <mergeCell ref="C8:C9"/>
    <mergeCell ref="C10:C11"/>
    <mergeCell ref="H6:H7"/>
    <mergeCell ref="H8:H9"/>
    <mergeCell ref="H10:H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H11" sqref="H11"/>
    </sheetView>
  </sheetViews>
  <sheetFormatPr baseColWidth="10" defaultRowHeight="15"/>
  <cols>
    <col min="2" max="2" width="13" customWidth="1"/>
    <col min="3" max="3" width="15.28515625" bestFit="1" customWidth="1"/>
    <col min="6" max="6" width="14.85546875" customWidth="1"/>
  </cols>
  <sheetData>
    <row r="2" spans="2:9">
      <c r="B2" s="210" t="s">
        <v>335</v>
      </c>
      <c r="C2" s="210"/>
      <c r="D2" s="210"/>
      <c r="E2" s="210"/>
      <c r="F2" s="210"/>
      <c r="G2" s="210"/>
      <c r="H2" s="62"/>
    </row>
    <row r="3" spans="2:9">
      <c r="B3" s="211"/>
      <c r="C3" s="212"/>
      <c r="D3" s="212"/>
      <c r="E3" s="212"/>
      <c r="F3" s="212"/>
      <c r="G3" s="212"/>
      <c r="H3" s="62"/>
    </row>
    <row r="4" spans="2:9">
      <c r="B4" s="62"/>
      <c r="C4" s="62"/>
      <c r="D4" s="62"/>
      <c r="E4" s="62"/>
      <c r="F4" s="62"/>
      <c r="G4" s="62"/>
      <c r="H4" s="62"/>
    </row>
    <row r="5" spans="2:9">
      <c r="B5" s="61" t="s">
        <v>244</v>
      </c>
      <c r="C5" s="61" t="s">
        <v>245</v>
      </c>
      <c r="D5" s="61" t="s">
        <v>191</v>
      </c>
      <c r="E5" s="61" t="s">
        <v>45</v>
      </c>
      <c r="F5" s="61" t="s">
        <v>180</v>
      </c>
      <c r="G5" s="61" t="s">
        <v>246</v>
      </c>
      <c r="H5" s="61" t="s">
        <v>133</v>
      </c>
      <c r="I5" s="61" t="s">
        <v>134</v>
      </c>
    </row>
    <row r="6" spans="2:9">
      <c r="B6" s="30">
        <v>409</v>
      </c>
      <c r="C6" s="30" t="s">
        <v>550</v>
      </c>
      <c r="D6" s="30">
        <v>968700</v>
      </c>
      <c r="E6" s="30" t="s">
        <v>237</v>
      </c>
      <c r="F6" s="30" t="s">
        <v>182</v>
      </c>
      <c r="G6" s="205">
        <v>593.20000000000005</v>
      </c>
      <c r="H6" s="143">
        <v>92.403999999999996</v>
      </c>
      <c r="I6" s="205">
        <f>G6-(H6+H7+H8+H9)</f>
        <v>227.71900000000005</v>
      </c>
    </row>
    <row r="7" spans="2:9">
      <c r="B7" s="30">
        <v>409</v>
      </c>
      <c r="C7" s="30" t="s">
        <v>548</v>
      </c>
      <c r="D7" s="30">
        <v>701977</v>
      </c>
      <c r="E7" s="30" t="s">
        <v>237</v>
      </c>
      <c r="F7" s="30" t="s">
        <v>182</v>
      </c>
      <c r="G7" s="205"/>
      <c r="H7" s="143">
        <v>97.036000000000001</v>
      </c>
      <c r="I7" s="205"/>
    </row>
    <row r="8" spans="2:9">
      <c r="B8" s="30">
        <v>409</v>
      </c>
      <c r="C8" s="30" t="s">
        <v>549</v>
      </c>
      <c r="D8" s="30">
        <v>966328</v>
      </c>
      <c r="E8" s="30" t="s">
        <v>237</v>
      </c>
      <c r="F8" s="30" t="s">
        <v>182</v>
      </c>
      <c r="G8" s="205"/>
      <c r="H8" s="143">
        <v>79.978999999999999</v>
      </c>
      <c r="I8" s="205"/>
    </row>
    <row r="9" spans="2:9">
      <c r="B9" s="30">
        <v>409</v>
      </c>
      <c r="C9" s="30" t="s">
        <v>542</v>
      </c>
      <c r="D9" s="30">
        <v>967684</v>
      </c>
      <c r="E9" s="30" t="s">
        <v>237</v>
      </c>
      <c r="F9" s="30" t="s">
        <v>182</v>
      </c>
      <c r="G9" s="205"/>
      <c r="H9" s="143">
        <v>96.061999999999998</v>
      </c>
      <c r="I9" s="205"/>
    </row>
  </sheetData>
  <mergeCells count="4">
    <mergeCell ref="B2:G2"/>
    <mergeCell ref="B3:G3"/>
    <mergeCell ref="G6:G9"/>
    <mergeCell ref="I6:I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888"/>
  <sheetViews>
    <sheetView zoomScale="85" zoomScaleNormal="85" workbookViewId="0">
      <pane ySplit="3" topLeftCell="A4" activePane="bottomLeft" state="frozen"/>
      <selection pane="bottomLeft" activeCell="K590" sqref="K590:K602"/>
    </sheetView>
  </sheetViews>
  <sheetFormatPr baseColWidth="10" defaultRowHeight="15"/>
  <cols>
    <col min="1" max="1" width="30.7109375" style="39" customWidth="1"/>
    <col min="2" max="2" width="16.140625" style="39" customWidth="1"/>
    <col min="3" max="3" width="12.42578125" style="39" customWidth="1"/>
    <col min="4" max="4" width="10.7109375" style="39" customWidth="1"/>
    <col min="5" max="5" width="13" style="39" customWidth="1"/>
    <col min="6" max="6" width="11" style="39" customWidth="1"/>
    <col min="7" max="7" width="19.42578125" style="39" customWidth="1"/>
    <col min="8" max="9" width="11.42578125" style="39" customWidth="1"/>
    <col min="10" max="10" width="15.140625" style="39" customWidth="1"/>
    <col min="11" max="11" width="14.28515625" style="58" customWidth="1"/>
    <col min="12" max="12" width="14.5703125" style="71" customWidth="1"/>
    <col min="13" max="13" width="11.42578125" style="58"/>
    <col min="14" max="14" width="12.7109375" style="70" customWidth="1"/>
    <col min="15" max="16" width="11.42578125" style="39"/>
    <col min="17" max="17" width="17.85546875" style="39" bestFit="1" customWidth="1"/>
    <col min="18" max="18" width="15.42578125" style="39" bestFit="1" customWidth="1"/>
    <col min="19" max="16384" width="11.42578125" style="39"/>
  </cols>
  <sheetData>
    <row r="1" spans="1:18">
      <c r="N1" s="68"/>
    </row>
    <row r="2" spans="1:18">
      <c r="B2" s="218" t="s">
        <v>195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Q2" s="30" t="s">
        <v>149</v>
      </c>
      <c r="R2" s="30" t="s">
        <v>274</v>
      </c>
    </row>
    <row r="3" spans="1:18" ht="27" customHeight="1">
      <c r="A3" s="51" t="s">
        <v>199</v>
      </c>
      <c r="B3" s="37" t="s">
        <v>186</v>
      </c>
      <c r="C3" s="37" t="s">
        <v>187</v>
      </c>
      <c r="D3" s="37" t="s">
        <v>188</v>
      </c>
      <c r="E3" s="37" t="s">
        <v>198</v>
      </c>
      <c r="F3" s="37" t="s">
        <v>189</v>
      </c>
      <c r="G3" s="37" t="s">
        <v>190</v>
      </c>
      <c r="H3" s="37" t="s">
        <v>191</v>
      </c>
      <c r="I3" s="37" t="s">
        <v>192</v>
      </c>
      <c r="J3" s="37" t="s">
        <v>193</v>
      </c>
      <c r="K3" s="59" t="s">
        <v>194</v>
      </c>
      <c r="L3" s="37" t="s">
        <v>133</v>
      </c>
      <c r="M3" s="60" t="s">
        <v>134</v>
      </c>
      <c r="N3" s="69" t="s">
        <v>135</v>
      </c>
      <c r="Q3" s="64">
        <f>L4+L6+L8+L10+L12+L14+L16+L18+L20+L22+L24+L26+L28+L30+L32+L34+L36+L38+L40+L42+L44+L46+L48+L50+L52+L54+L56+L58+L60+L62+L64+L66+L68+L70+L72+L74+L75+L76+L80+L81+L84+L85+L86+L90+L91+L92+L93+L98+L99+L100+L101+L106+L108+L110+L112+L114+L116+L118+L120+L121+L124+L125+L126+L130+L131+L132+L133+L138+L140+L142+L144+L145+L146+L150+L152+L153+L156+L157+L160+L162+L163+L166+L168+L170+L172+L173+L176+L178+L180+L182+L183+L186+L188+L190+L192+L194+L196+L198+L200+L202+L204+L206+L208+L210+L212+L214+L216+L218+L220+L222+L224+L226+L228+L230+L232+L234+L236+L238+L240+L242+L244+L246+L248+L250+L252+L253+L259+L261+L263+L265+L267+L269+L270+L271+L275+L276+L279+L281+L283+L285+L287+L288+L289+L290+L295+L296+L299+L300+L303+L305+L307+L308+L311+L313+L315+L316+L319+L321+L322+L325+L327+L329+L330+L331+L335+L337+L339+L341+L343+L345+L347+L349+L351+L353+L355+L357+L359+L361+L363+L365+L367+L369+L371+L373+L375+L377+L379+L380+L382+L383+L384+L385+L390+L391+L392+L393+L394+L396+L398+L400+L402+L404+L409+L410+L411+L415+L417+L419+L421+L422+L423+L424+L425+L426+L427+L428+L429+L430+L431+L432+L433+L434+L435+L436+L437+L438+L439+L440+L441+L442+L443+L444+L445+L446+L447+L448+L449+L450+L451+L452+L485+L487+L489+L491+L493+L495+L497+L499+L501+L503+L505+L506+L509+L511+L512+L514+L516+L518+L520+L521+L522+L523+L524+L527+L528+L529+L530+L535+L537+L539+L541+L543+L545+L547+L549+L551+L553+L554+L557+L558+L559+L563+L564+L567+L569+L571+L573+L574+L577+L578+L579+L580+L581+L582+L583+L584+L585+L586+L587+L588+L589+L603+L604+L605+L606+L607+L612+L613+L614+L618+L620+L622+L624+L626+L627+L630</f>
        <v>20062.420999999995</v>
      </c>
      <c r="R3" s="64">
        <f>L5+L7+L9+L11+L13+L15+L17+L19+L21+L23+L25+L27+L29+L31+L33+L35+L37+L39+L41+L43+L45+L47+L49+L51+L53+L55+L57+L59+L61+L63+L65+L67+L69+L71+L73+L77+L78+L79+L82+L83+L87+L88+L89+L94+L95+L96+L97+L102+L103+L104+L105+L107+L109+L111+L113+L115+L117+L119+L122+L123+L127+L128+L129+L134+L135+L136+L137+L139+L141+L143+L147+L148+L149+L151+L154+L155+L158+L159+L161+L164+L165+L167+L169+L171+L174+L175+L177+L179+L181+L184+L185+L187+L189+L191+L193+L195+L197+L199+L201+L203+L205+L207+L209+L211+L213+L215+L217+L219+L221+L223+L225+L227+L229+L231+L233+L235+L237+L239+L241+L243+L245+L247+L249+L251+L254+L255+L256+L257+L258+L260+L262+L264+L266+L268+L272+L273+L274+L277+L278+L280+L282+L284+L286+L291+L292+L293+L294+L297+L298+L301+L302+L304+L306+L309+L310+L312+L314+L317+L318+L320+L323+L324+L326+L328+L332+L333+L334+L336+L338+L340+L342+L344+L346+L348+L350+L352+L354+L356+L358+L360+L362+L364+L366+L368+L370+L372+L374+L376+L378+L381+L386+L387+L388+L389+L395+L397+L399+L401+L403+L405+L406+L407+L408+L412+L413+L414+L416+L418+L420+L453+L454+L455+L456+L457+L458+L459+L460+L461+L462+L463+L464+L465+L466+L467+L468+L469+L470+L471+L472+L473+L474+L475+L476+L477+L478+L479+L480+L481+L482+L483+L484+L486+L488+L490+L492+L494+L496+L498+L500+L502+L504+L507+L508+L510+L513+L515+L517+L519+L525+L526+L531+L532+L533+L534+L536+L538+L540+L542+L544+L546+L548+L550+L552+L555+L556+L560+L561+L562+L565+L566+L568+L570+L572+L575+L576+L590+L591+L592+L593+L594+L595+L596+L597+L598+L599+L600+L601+L602+L608+L609+L610+L611+L615+L616+L617+L619+L621+L623+L625+L628+L629+L631</f>
        <v>17645.269999999997</v>
      </c>
    </row>
    <row r="4" spans="1:18" ht="15" hidden="1" customHeight="1">
      <c r="A4" s="30" t="s">
        <v>343</v>
      </c>
      <c r="B4" s="30" t="s">
        <v>345</v>
      </c>
      <c r="C4" s="73">
        <v>45330</v>
      </c>
      <c r="D4" s="30">
        <v>321</v>
      </c>
      <c r="E4" s="30" t="s">
        <v>346</v>
      </c>
      <c r="F4" s="30" t="s">
        <v>344</v>
      </c>
      <c r="G4" s="30" t="s">
        <v>347</v>
      </c>
      <c r="H4" s="30">
        <v>968488</v>
      </c>
      <c r="I4" s="30"/>
      <c r="J4" s="30" t="s">
        <v>181</v>
      </c>
      <c r="K4" s="64">
        <v>131</v>
      </c>
      <c r="L4" s="143">
        <v>132.33199999999999</v>
      </c>
      <c r="M4" s="64">
        <f t="shared" ref="M4:M35" si="0">K4-L4</f>
        <v>-1.3319999999999936</v>
      </c>
      <c r="N4" s="54">
        <f t="shared" ref="N4:N35" si="1">L4/K4</f>
        <v>1.0101679389312976</v>
      </c>
    </row>
    <row r="5" spans="1:18" ht="15" hidden="1" customHeight="1">
      <c r="A5" s="30" t="s">
        <v>343</v>
      </c>
      <c r="B5" s="30" t="s">
        <v>345</v>
      </c>
      <c r="C5" s="73">
        <v>45330</v>
      </c>
      <c r="D5" s="30">
        <v>321</v>
      </c>
      <c r="E5" s="30" t="s">
        <v>346</v>
      </c>
      <c r="F5" s="30" t="s">
        <v>344</v>
      </c>
      <c r="G5" s="30" t="s">
        <v>347</v>
      </c>
      <c r="H5" s="30">
        <v>968488</v>
      </c>
      <c r="I5" s="30"/>
      <c r="J5" s="30" t="s">
        <v>182</v>
      </c>
      <c r="K5" s="64">
        <v>169</v>
      </c>
      <c r="L5" s="143">
        <v>167.66800000000001</v>
      </c>
      <c r="M5" s="64">
        <f t="shared" si="0"/>
        <v>1.3319999999999936</v>
      </c>
      <c r="N5" s="54">
        <f t="shared" si="1"/>
        <v>0.99211834319526626</v>
      </c>
    </row>
    <row r="6" spans="1:18" ht="15" hidden="1" customHeight="1">
      <c r="A6" s="30" t="s">
        <v>343</v>
      </c>
      <c r="B6" s="30" t="s">
        <v>345</v>
      </c>
      <c r="C6" s="73">
        <v>45330</v>
      </c>
      <c r="D6" s="30">
        <v>321</v>
      </c>
      <c r="E6" s="30" t="s">
        <v>346</v>
      </c>
      <c r="F6" s="30" t="s">
        <v>344</v>
      </c>
      <c r="G6" s="30" t="s">
        <v>348</v>
      </c>
      <c r="H6" s="30">
        <v>958253</v>
      </c>
      <c r="I6" s="30"/>
      <c r="J6" s="30" t="s">
        <v>181</v>
      </c>
      <c r="K6" s="64">
        <v>131</v>
      </c>
      <c r="L6" s="143">
        <v>19.050999999999998</v>
      </c>
      <c r="M6" s="64">
        <f t="shared" si="0"/>
        <v>111.949</v>
      </c>
      <c r="N6" s="54">
        <f t="shared" si="1"/>
        <v>0.14542748091603053</v>
      </c>
    </row>
    <row r="7" spans="1:18" ht="15" hidden="1" customHeight="1">
      <c r="A7" s="30" t="s">
        <v>343</v>
      </c>
      <c r="B7" s="30" t="s">
        <v>345</v>
      </c>
      <c r="C7" s="73">
        <v>45330</v>
      </c>
      <c r="D7" s="30">
        <v>321</v>
      </c>
      <c r="E7" s="30" t="s">
        <v>346</v>
      </c>
      <c r="F7" s="30" t="s">
        <v>344</v>
      </c>
      <c r="G7" s="30" t="s">
        <v>348</v>
      </c>
      <c r="H7" s="30">
        <v>958253</v>
      </c>
      <c r="I7" s="30"/>
      <c r="J7" s="30" t="s">
        <v>182</v>
      </c>
      <c r="K7" s="64">
        <v>169</v>
      </c>
      <c r="L7" s="143">
        <v>137.15299999999999</v>
      </c>
      <c r="M7" s="64">
        <f t="shared" si="0"/>
        <v>31.847000000000008</v>
      </c>
      <c r="N7" s="54">
        <f t="shared" si="1"/>
        <v>0.81155621301775138</v>
      </c>
    </row>
    <row r="8" spans="1:18" ht="15" hidden="1" customHeight="1">
      <c r="A8" s="30" t="s">
        <v>343</v>
      </c>
      <c r="B8" s="30" t="s">
        <v>345</v>
      </c>
      <c r="C8" s="73">
        <v>45330</v>
      </c>
      <c r="D8" s="30">
        <v>321</v>
      </c>
      <c r="E8" s="30" t="s">
        <v>346</v>
      </c>
      <c r="F8" s="30" t="s">
        <v>344</v>
      </c>
      <c r="G8" s="30" t="s">
        <v>349</v>
      </c>
      <c r="H8" s="30">
        <v>965037</v>
      </c>
      <c r="I8" s="30"/>
      <c r="J8" s="30" t="s">
        <v>181</v>
      </c>
      <c r="K8" s="64">
        <v>131</v>
      </c>
      <c r="L8" s="143">
        <v>131</v>
      </c>
      <c r="M8" s="64">
        <f t="shared" si="0"/>
        <v>0</v>
      </c>
      <c r="N8" s="54">
        <f t="shared" si="1"/>
        <v>1</v>
      </c>
    </row>
    <row r="9" spans="1:18" ht="15" hidden="1" customHeight="1">
      <c r="A9" s="30" t="s">
        <v>343</v>
      </c>
      <c r="B9" s="30" t="s">
        <v>345</v>
      </c>
      <c r="C9" s="73">
        <v>45330</v>
      </c>
      <c r="D9" s="30">
        <v>321</v>
      </c>
      <c r="E9" s="30" t="s">
        <v>346</v>
      </c>
      <c r="F9" s="30" t="s">
        <v>344</v>
      </c>
      <c r="G9" s="30" t="s">
        <v>349</v>
      </c>
      <c r="H9" s="30">
        <v>965037</v>
      </c>
      <c r="I9" s="30"/>
      <c r="J9" s="30" t="s">
        <v>182</v>
      </c>
      <c r="K9" s="64">
        <v>169</v>
      </c>
      <c r="L9" s="143">
        <v>169</v>
      </c>
      <c r="M9" s="64">
        <f t="shared" si="0"/>
        <v>0</v>
      </c>
      <c r="N9" s="54">
        <f t="shared" si="1"/>
        <v>1</v>
      </c>
    </row>
    <row r="10" spans="1:18" ht="15" hidden="1" customHeight="1">
      <c r="A10" s="30" t="s">
        <v>343</v>
      </c>
      <c r="B10" s="30" t="s">
        <v>345</v>
      </c>
      <c r="C10" s="73">
        <v>45330</v>
      </c>
      <c r="D10" s="30">
        <v>321</v>
      </c>
      <c r="E10" s="30" t="s">
        <v>346</v>
      </c>
      <c r="F10" s="30" t="s">
        <v>344</v>
      </c>
      <c r="G10" s="30" t="s">
        <v>350</v>
      </c>
      <c r="H10" s="30">
        <v>698252</v>
      </c>
      <c r="I10" s="30"/>
      <c r="J10" s="30" t="s">
        <v>181</v>
      </c>
      <c r="K10" s="64">
        <v>131</v>
      </c>
      <c r="L10" s="143">
        <v>68.831000000000003</v>
      </c>
      <c r="M10" s="64">
        <f t="shared" si="0"/>
        <v>62.168999999999997</v>
      </c>
      <c r="N10" s="54">
        <f t="shared" si="1"/>
        <v>0.52542748091603053</v>
      </c>
    </row>
    <row r="11" spans="1:18" ht="15" hidden="1" customHeight="1">
      <c r="A11" s="30" t="s">
        <v>343</v>
      </c>
      <c r="B11" s="30" t="s">
        <v>345</v>
      </c>
      <c r="C11" s="73">
        <v>45330</v>
      </c>
      <c r="D11" s="30">
        <v>321</v>
      </c>
      <c r="E11" s="30" t="s">
        <v>346</v>
      </c>
      <c r="F11" s="30" t="s">
        <v>344</v>
      </c>
      <c r="G11" s="30" t="s">
        <v>350</v>
      </c>
      <c r="H11" s="30">
        <v>698252</v>
      </c>
      <c r="I11" s="30"/>
      <c r="J11" s="30" t="s">
        <v>182</v>
      </c>
      <c r="K11" s="64">
        <v>169</v>
      </c>
      <c r="L11" s="143">
        <v>203.23400000000001</v>
      </c>
      <c r="M11" s="64">
        <f t="shared" si="0"/>
        <v>-34.234000000000009</v>
      </c>
      <c r="N11" s="54">
        <f t="shared" si="1"/>
        <v>1.2025680473372782</v>
      </c>
    </row>
    <row r="12" spans="1:18" ht="15" hidden="1" customHeight="1">
      <c r="A12" s="30" t="s">
        <v>343</v>
      </c>
      <c r="B12" s="30" t="s">
        <v>345</v>
      </c>
      <c r="C12" s="73">
        <v>45330</v>
      </c>
      <c r="D12" s="30">
        <v>321</v>
      </c>
      <c r="E12" s="30" t="s">
        <v>346</v>
      </c>
      <c r="F12" s="30" t="s">
        <v>344</v>
      </c>
      <c r="G12" s="30" t="s">
        <v>351</v>
      </c>
      <c r="H12" s="30">
        <v>951093</v>
      </c>
      <c r="I12" s="30"/>
      <c r="J12" s="30" t="s">
        <v>181</v>
      </c>
      <c r="K12" s="64">
        <v>88</v>
      </c>
      <c r="L12" s="143"/>
      <c r="M12" s="64">
        <f t="shared" si="0"/>
        <v>88</v>
      </c>
      <c r="N12" s="54">
        <f t="shared" si="1"/>
        <v>0</v>
      </c>
    </row>
    <row r="13" spans="1:18" ht="15" hidden="1" customHeight="1">
      <c r="A13" s="30" t="s">
        <v>343</v>
      </c>
      <c r="B13" s="30" t="s">
        <v>345</v>
      </c>
      <c r="C13" s="73">
        <v>45330</v>
      </c>
      <c r="D13" s="30">
        <v>321</v>
      </c>
      <c r="E13" s="30" t="s">
        <v>346</v>
      </c>
      <c r="F13" s="30" t="s">
        <v>344</v>
      </c>
      <c r="G13" s="30" t="s">
        <v>351</v>
      </c>
      <c r="H13" s="30">
        <v>951093</v>
      </c>
      <c r="I13" s="30"/>
      <c r="J13" s="30" t="s">
        <v>182</v>
      </c>
      <c r="K13" s="64">
        <v>112</v>
      </c>
      <c r="L13" s="143"/>
      <c r="M13" s="64">
        <f t="shared" si="0"/>
        <v>112</v>
      </c>
      <c r="N13" s="54">
        <f t="shared" si="1"/>
        <v>0</v>
      </c>
    </row>
    <row r="14" spans="1:18" ht="15" hidden="1" customHeight="1">
      <c r="A14" s="30" t="s">
        <v>343</v>
      </c>
      <c r="B14" s="30" t="s">
        <v>345</v>
      </c>
      <c r="C14" s="73">
        <v>45330</v>
      </c>
      <c r="D14" s="30">
        <v>321</v>
      </c>
      <c r="E14" s="30" t="s">
        <v>346</v>
      </c>
      <c r="F14" s="30" t="s">
        <v>344</v>
      </c>
      <c r="G14" s="30" t="s">
        <v>352</v>
      </c>
      <c r="H14" s="30">
        <v>701660</v>
      </c>
      <c r="I14" s="30"/>
      <c r="J14" s="30" t="s">
        <v>181</v>
      </c>
      <c r="K14" s="64">
        <v>131</v>
      </c>
      <c r="L14" s="143">
        <v>56.825000000000003</v>
      </c>
      <c r="M14" s="64">
        <f t="shared" si="0"/>
        <v>74.174999999999997</v>
      </c>
      <c r="N14" s="54">
        <f t="shared" si="1"/>
        <v>0.43377862595419847</v>
      </c>
    </row>
    <row r="15" spans="1:18" ht="15" hidden="1" customHeight="1">
      <c r="A15" s="30" t="s">
        <v>343</v>
      </c>
      <c r="B15" s="30" t="s">
        <v>345</v>
      </c>
      <c r="C15" s="73">
        <v>45330</v>
      </c>
      <c r="D15" s="30">
        <v>321</v>
      </c>
      <c r="E15" s="30" t="s">
        <v>346</v>
      </c>
      <c r="F15" s="30" t="s">
        <v>344</v>
      </c>
      <c r="G15" s="30" t="s">
        <v>352</v>
      </c>
      <c r="H15" s="30">
        <v>701660</v>
      </c>
      <c r="I15" s="30"/>
      <c r="J15" s="30" t="s">
        <v>182</v>
      </c>
      <c r="K15" s="64">
        <v>169</v>
      </c>
      <c r="L15" s="143">
        <v>200.21199999999999</v>
      </c>
      <c r="M15" s="64">
        <f t="shared" si="0"/>
        <v>-31.211999999999989</v>
      </c>
      <c r="N15" s="54">
        <f t="shared" si="1"/>
        <v>1.1846863905325442</v>
      </c>
    </row>
    <row r="16" spans="1:18" ht="15" hidden="1" customHeight="1">
      <c r="A16" s="30" t="s">
        <v>343</v>
      </c>
      <c r="B16" s="30" t="s">
        <v>345</v>
      </c>
      <c r="C16" s="73">
        <v>45330</v>
      </c>
      <c r="D16" s="30">
        <v>321</v>
      </c>
      <c r="E16" s="30" t="s">
        <v>346</v>
      </c>
      <c r="F16" s="30" t="s">
        <v>344</v>
      </c>
      <c r="G16" s="30" t="s">
        <v>353</v>
      </c>
      <c r="H16" s="30">
        <v>955440</v>
      </c>
      <c r="I16" s="30"/>
      <c r="J16" s="30" t="s">
        <v>181</v>
      </c>
      <c r="K16" s="64">
        <v>131</v>
      </c>
      <c r="L16" s="143">
        <v>92.822999999999993</v>
      </c>
      <c r="M16" s="64">
        <f t="shared" si="0"/>
        <v>38.177000000000007</v>
      </c>
      <c r="N16" s="54">
        <f t="shared" si="1"/>
        <v>0.70857251908396945</v>
      </c>
    </row>
    <row r="17" spans="1:14" ht="15" hidden="1" customHeight="1">
      <c r="A17" s="30" t="s">
        <v>343</v>
      </c>
      <c r="B17" s="30" t="s">
        <v>345</v>
      </c>
      <c r="C17" s="73">
        <v>45330</v>
      </c>
      <c r="D17" s="30">
        <v>321</v>
      </c>
      <c r="E17" s="30" t="s">
        <v>346</v>
      </c>
      <c r="F17" s="30" t="s">
        <v>344</v>
      </c>
      <c r="G17" s="30" t="s">
        <v>353</v>
      </c>
      <c r="H17" s="30">
        <v>955440</v>
      </c>
      <c r="I17" s="30"/>
      <c r="J17" s="30" t="s">
        <v>182</v>
      </c>
      <c r="K17" s="64">
        <v>169</v>
      </c>
      <c r="L17" s="143">
        <v>152.41900000000001</v>
      </c>
      <c r="M17" s="64">
        <f t="shared" si="0"/>
        <v>16.580999999999989</v>
      </c>
      <c r="N17" s="54">
        <f t="shared" si="1"/>
        <v>0.90188757396449715</v>
      </c>
    </row>
    <row r="18" spans="1:14" ht="15" hidden="1" customHeight="1">
      <c r="A18" s="30" t="s">
        <v>343</v>
      </c>
      <c r="B18" s="30" t="s">
        <v>345</v>
      </c>
      <c r="C18" s="73">
        <v>45330</v>
      </c>
      <c r="D18" s="30">
        <v>321</v>
      </c>
      <c r="E18" s="30" t="s">
        <v>346</v>
      </c>
      <c r="F18" s="30" t="s">
        <v>344</v>
      </c>
      <c r="G18" s="30" t="s">
        <v>354</v>
      </c>
      <c r="H18" s="30">
        <v>701765</v>
      </c>
      <c r="I18" s="30"/>
      <c r="J18" s="30" t="s">
        <v>181</v>
      </c>
      <c r="K18" s="64">
        <v>131</v>
      </c>
      <c r="L18" s="143">
        <v>9.5760000000000005</v>
      </c>
      <c r="M18" s="64">
        <f t="shared" si="0"/>
        <v>121.42400000000001</v>
      </c>
      <c r="N18" s="54">
        <f t="shared" si="1"/>
        <v>7.309923664122138E-2</v>
      </c>
    </row>
    <row r="19" spans="1:14" ht="15" hidden="1" customHeight="1">
      <c r="A19" s="30" t="s">
        <v>343</v>
      </c>
      <c r="B19" s="30" t="s">
        <v>345</v>
      </c>
      <c r="C19" s="73">
        <v>45330</v>
      </c>
      <c r="D19" s="30">
        <v>321</v>
      </c>
      <c r="E19" s="30" t="s">
        <v>346</v>
      </c>
      <c r="F19" s="30" t="s">
        <v>344</v>
      </c>
      <c r="G19" s="30" t="s">
        <v>354</v>
      </c>
      <c r="H19" s="30">
        <v>701765</v>
      </c>
      <c r="I19" s="30"/>
      <c r="J19" s="30" t="s">
        <v>182</v>
      </c>
      <c r="K19" s="64">
        <v>169</v>
      </c>
      <c r="L19" s="143">
        <v>37.069000000000003</v>
      </c>
      <c r="M19" s="64">
        <f t="shared" si="0"/>
        <v>131.93099999999998</v>
      </c>
      <c r="N19" s="54">
        <f t="shared" si="1"/>
        <v>0.21934319526627222</v>
      </c>
    </row>
    <row r="20" spans="1:14" ht="15" hidden="1" customHeight="1">
      <c r="A20" s="30" t="s">
        <v>343</v>
      </c>
      <c r="B20" s="30" t="s">
        <v>345</v>
      </c>
      <c r="C20" s="73">
        <v>45330</v>
      </c>
      <c r="D20" s="30">
        <v>321</v>
      </c>
      <c r="E20" s="30" t="s">
        <v>346</v>
      </c>
      <c r="F20" s="30" t="s">
        <v>344</v>
      </c>
      <c r="G20" s="30" t="s">
        <v>355</v>
      </c>
      <c r="H20" s="30">
        <v>955517</v>
      </c>
      <c r="I20" s="30"/>
      <c r="J20" s="30" t="s">
        <v>181</v>
      </c>
      <c r="K20" s="64">
        <v>131</v>
      </c>
      <c r="L20" s="143"/>
      <c r="M20" s="64">
        <f t="shared" si="0"/>
        <v>131</v>
      </c>
      <c r="N20" s="54">
        <f t="shared" si="1"/>
        <v>0</v>
      </c>
    </row>
    <row r="21" spans="1:14" ht="15" hidden="1" customHeight="1">
      <c r="A21" s="30" t="s">
        <v>343</v>
      </c>
      <c r="B21" s="30" t="s">
        <v>345</v>
      </c>
      <c r="C21" s="73">
        <v>45330</v>
      </c>
      <c r="D21" s="30">
        <v>321</v>
      </c>
      <c r="E21" s="30" t="s">
        <v>346</v>
      </c>
      <c r="F21" s="30" t="s">
        <v>344</v>
      </c>
      <c r="G21" s="30" t="s">
        <v>355</v>
      </c>
      <c r="H21" s="30">
        <v>955517</v>
      </c>
      <c r="I21" s="30"/>
      <c r="J21" s="30" t="s">
        <v>182</v>
      </c>
      <c r="K21" s="64">
        <v>169</v>
      </c>
      <c r="L21" s="143"/>
      <c r="M21" s="64">
        <f t="shared" si="0"/>
        <v>169</v>
      </c>
      <c r="N21" s="54">
        <f t="shared" si="1"/>
        <v>0</v>
      </c>
    </row>
    <row r="22" spans="1:14" ht="15" hidden="1" customHeight="1">
      <c r="A22" s="30" t="s">
        <v>343</v>
      </c>
      <c r="B22" s="30" t="s">
        <v>345</v>
      </c>
      <c r="C22" s="73">
        <v>45330</v>
      </c>
      <c r="D22" s="30">
        <v>321</v>
      </c>
      <c r="E22" s="30" t="s">
        <v>346</v>
      </c>
      <c r="F22" s="30" t="s">
        <v>344</v>
      </c>
      <c r="G22" s="30" t="s">
        <v>356</v>
      </c>
      <c r="H22" s="30">
        <v>968725</v>
      </c>
      <c r="I22" s="30"/>
      <c r="J22" s="30" t="s">
        <v>181</v>
      </c>
      <c r="K22" s="64">
        <v>131</v>
      </c>
      <c r="L22" s="143">
        <v>25.686</v>
      </c>
      <c r="M22" s="64">
        <f t="shared" si="0"/>
        <v>105.31399999999999</v>
      </c>
      <c r="N22" s="54">
        <f t="shared" si="1"/>
        <v>0.19607633587786261</v>
      </c>
    </row>
    <row r="23" spans="1:14" ht="15" hidden="1" customHeight="1">
      <c r="A23" s="30" t="s">
        <v>343</v>
      </c>
      <c r="B23" s="30" t="s">
        <v>345</v>
      </c>
      <c r="C23" s="73">
        <v>45330</v>
      </c>
      <c r="D23" s="30">
        <v>321</v>
      </c>
      <c r="E23" s="30" t="s">
        <v>346</v>
      </c>
      <c r="F23" s="30" t="s">
        <v>344</v>
      </c>
      <c r="G23" s="30" t="s">
        <v>356</v>
      </c>
      <c r="H23" s="30">
        <v>968725</v>
      </c>
      <c r="I23" s="30"/>
      <c r="J23" s="30" t="s">
        <v>182</v>
      </c>
      <c r="K23" s="64">
        <v>169</v>
      </c>
      <c r="L23" s="143">
        <v>90.557000000000002</v>
      </c>
      <c r="M23" s="64">
        <f t="shared" si="0"/>
        <v>78.442999999999998</v>
      </c>
      <c r="N23" s="54">
        <f t="shared" si="1"/>
        <v>0.53584023668639058</v>
      </c>
    </row>
    <row r="24" spans="1:14" ht="15" hidden="1" customHeight="1">
      <c r="A24" s="30" t="s">
        <v>343</v>
      </c>
      <c r="B24" s="30" t="s">
        <v>345</v>
      </c>
      <c r="C24" s="73">
        <v>45330</v>
      </c>
      <c r="D24" s="30">
        <v>321</v>
      </c>
      <c r="E24" s="30" t="s">
        <v>346</v>
      </c>
      <c r="F24" s="30" t="s">
        <v>344</v>
      </c>
      <c r="G24" s="30" t="s">
        <v>357</v>
      </c>
      <c r="H24" s="30">
        <v>961872</v>
      </c>
      <c r="I24" s="30"/>
      <c r="J24" s="30" t="s">
        <v>181</v>
      </c>
      <c r="K24" s="64">
        <v>131</v>
      </c>
      <c r="L24" s="143"/>
      <c r="M24" s="64">
        <f t="shared" si="0"/>
        <v>131</v>
      </c>
      <c r="N24" s="54">
        <f t="shared" si="1"/>
        <v>0</v>
      </c>
    </row>
    <row r="25" spans="1:14" ht="15" hidden="1" customHeight="1">
      <c r="A25" s="30" t="s">
        <v>343</v>
      </c>
      <c r="B25" s="30" t="s">
        <v>345</v>
      </c>
      <c r="C25" s="73">
        <v>45330</v>
      </c>
      <c r="D25" s="30">
        <v>321</v>
      </c>
      <c r="E25" s="30" t="s">
        <v>346</v>
      </c>
      <c r="F25" s="30" t="s">
        <v>344</v>
      </c>
      <c r="G25" s="30" t="s">
        <v>357</v>
      </c>
      <c r="H25" s="30">
        <v>961872</v>
      </c>
      <c r="I25" s="30"/>
      <c r="J25" s="30" t="s">
        <v>182</v>
      </c>
      <c r="K25" s="64">
        <v>169</v>
      </c>
      <c r="L25" s="143"/>
      <c r="M25" s="64">
        <f t="shared" si="0"/>
        <v>169</v>
      </c>
      <c r="N25" s="54">
        <f t="shared" si="1"/>
        <v>0</v>
      </c>
    </row>
    <row r="26" spans="1:14" ht="15" hidden="1" customHeight="1">
      <c r="A26" s="30" t="s">
        <v>343</v>
      </c>
      <c r="B26" s="30" t="s">
        <v>345</v>
      </c>
      <c r="C26" s="73">
        <v>45330</v>
      </c>
      <c r="D26" s="30">
        <v>321</v>
      </c>
      <c r="E26" s="30" t="s">
        <v>346</v>
      </c>
      <c r="F26" s="30" t="s">
        <v>344</v>
      </c>
      <c r="G26" s="30" t="s">
        <v>358</v>
      </c>
      <c r="H26" s="30">
        <v>699166</v>
      </c>
      <c r="I26" s="30"/>
      <c r="J26" s="30" t="s">
        <v>181</v>
      </c>
      <c r="K26" s="64">
        <v>131</v>
      </c>
      <c r="L26" s="143">
        <v>73.298000000000002</v>
      </c>
      <c r="M26" s="64">
        <f t="shared" si="0"/>
        <v>57.701999999999998</v>
      </c>
      <c r="N26" s="54">
        <f t="shared" si="1"/>
        <v>0.55952671755725192</v>
      </c>
    </row>
    <row r="27" spans="1:14" ht="15" hidden="1" customHeight="1">
      <c r="A27" s="30" t="s">
        <v>343</v>
      </c>
      <c r="B27" s="30" t="s">
        <v>345</v>
      </c>
      <c r="C27" s="73">
        <v>45330</v>
      </c>
      <c r="D27" s="30">
        <v>321</v>
      </c>
      <c r="E27" s="30" t="s">
        <v>346</v>
      </c>
      <c r="F27" s="30" t="s">
        <v>344</v>
      </c>
      <c r="G27" s="30" t="s">
        <v>358</v>
      </c>
      <c r="H27" s="30">
        <v>699166</v>
      </c>
      <c r="I27" s="30"/>
      <c r="J27" s="30" t="s">
        <v>182</v>
      </c>
      <c r="K27" s="64">
        <v>169</v>
      </c>
      <c r="L27" s="143">
        <v>226.702</v>
      </c>
      <c r="M27" s="64">
        <f t="shared" si="0"/>
        <v>-57.701999999999998</v>
      </c>
      <c r="N27" s="54">
        <f t="shared" si="1"/>
        <v>1.3414319526627219</v>
      </c>
    </row>
    <row r="28" spans="1:14" ht="15" hidden="1" customHeight="1">
      <c r="A28" s="30" t="s">
        <v>343</v>
      </c>
      <c r="B28" s="30" t="s">
        <v>345</v>
      </c>
      <c r="C28" s="73">
        <v>45330</v>
      </c>
      <c r="D28" s="30">
        <v>321</v>
      </c>
      <c r="E28" s="30" t="s">
        <v>346</v>
      </c>
      <c r="F28" s="30" t="s">
        <v>344</v>
      </c>
      <c r="G28" s="30" t="s">
        <v>359</v>
      </c>
      <c r="H28" s="30">
        <v>956236</v>
      </c>
      <c r="I28" s="30"/>
      <c r="J28" s="30" t="s">
        <v>181</v>
      </c>
      <c r="K28" s="64">
        <v>110</v>
      </c>
      <c r="L28" s="143">
        <v>41.311999999999998</v>
      </c>
      <c r="M28" s="64">
        <f t="shared" si="0"/>
        <v>68.688000000000002</v>
      </c>
      <c r="N28" s="54">
        <f t="shared" si="1"/>
        <v>0.37556363636363632</v>
      </c>
    </row>
    <row r="29" spans="1:14" ht="15" hidden="1" customHeight="1">
      <c r="A29" s="30" t="s">
        <v>343</v>
      </c>
      <c r="B29" s="30" t="s">
        <v>345</v>
      </c>
      <c r="C29" s="73">
        <v>45330</v>
      </c>
      <c r="D29" s="30">
        <v>321</v>
      </c>
      <c r="E29" s="30" t="s">
        <v>346</v>
      </c>
      <c r="F29" s="30" t="s">
        <v>344</v>
      </c>
      <c r="G29" s="30" t="s">
        <v>359</v>
      </c>
      <c r="H29" s="30">
        <v>956236</v>
      </c>
      <c r="I29" s="30"/>
      <c r="J29" s="30" t="s">
        <v>182</v>
      </c>
      <c r="K29" s="64">
        <v>140</v>
      </c>
      <c r="L29" s="143">
        <v>195.20099999999999</v>
      </c>
      <c r="M29" s="64">
        <f t="shared" si="0"/>
        <v>-55.200999999999993</v>
      </c>
      <c r="N29" s="54">
        <f t="shared" si="1"/>
        <v>1.394292857142857</v>
      </c>
    </row>
    <row r="30" spans="1:14" ht="15" hidden="1" customHeight="1">
      <c r="A30" s="30" t="s">
        <v>343</v>
      </c>
      <c r="B30" s="30" t="s">
        <v>345</v>
      </c>
      <c r="C30" s="73">
        <v>45330</v>
      </c>
      <c r="D30" s="30">
        <v>321</v>
      </c>
      <c r="E30" s="30" t="s">
        <v>346</v>
      </c>
      <c r="F30" s="30" t="s">
        <v>344</v>
      </c>
      <c r="G30" s="30" t="s">
        <v>360</v>
      </c>
      <c r="H30" s="30">
        <v>957821</v>
      </c>
      <c r="I30" s="30"/>
      <c r="J30" s="30" t="s">
        <v>181</v>
      </c>
      <c r="K30" s="64">
        <v>131</v>
      </c>
      <c r="L30" s="143">
        <v>16.178999999999998</v>
      </c>
      <c r="M30" s="64">
        <f t="shared" si="0"/>
        <v>114.821</v>
      </c>
      <c r="N30" s="54">
        <f t="shared" si="1"/>
        <v>0.12350381679389312</v>
      </c>
    </row>
    <row r="31" spans="1:14" ht="15" hidden="1" customHeight="1">
      <c r="A31" s="30" t="s">
        <v>343</v>
      </c>
      <c r="B31" s="30" t="s">
        <v>345</v>
      </c>
      <c r="C31" s="73">
        <v>45330</v>
      </c>
      <c r="D31" s="30">
        <v>321</v>
      </c>
      <c r="E31" s="30" t="s">
        <v>346</v>
      </c>
      <c r="F31" s="30" t="s">
        <v>344</v>
      </c>
      <c r="G31" s="30" t="s">
        <v>360</v>
      </c>
      <c r="H31" s="30">
        <v>957821</v>
      </c>
      <c r="I31" s="30"/>
      <c r="J31" s="30" t="s">
        <v>182</v>
      </c>
      <c r="K31" s="64">
        <v>169</v>
      </c>
      <c r="L31" s="143">
        <v>52.106999999999999</v>
      </c>
      <c r="M31" s="64">
        <f t="shared" si="0"/>
        <v>116.893</v>
      </c>
      <c r="N31" s="54">
        <f t="shared" si="1"/>
        <v>0.30832544378698223</v>
      </c>
    </row>
    <row r="32" spans="1:14" ht="15" hidden="1" customHeight="1">
      <c r="A32" s="30" t="s">
        <v>343</v>
      </c>
      <c r="B32" s="30" t="s">
        <v>345</v>
      </c>
      <c r="C32" s="73">
        <v>45330</v>
      </c>
      <c r="D32" s="30">
        <v>321</v>
      </c>
      <c r="E32" s="30" t="s">
        <v>346</v>
      </c>
      <c r="F32" s="30" t="s">
        <v>344</v>
      </c>
      <c r="G32" s="30" t="s">
        <v>361</v>
      </c>
      <c r="H32" s="30">
        <v>697487</v>
      </c>
      <c r="I32" s="30"/>
      <c r="J32" s="30" t="s">
        <v>181</v>
      </c>
      <c r="K32" s="64">
        <v>131</v>
      </c>
      <c r="L32" s="143">
        <v>31.015999999999998</v>
      </c>
      <c r="M32" s="64">
        <f t="shared" si="0"/>
        <v>99.984000000000009</v>
      </c>
      <c r="N32" s="54">
        <f t="shared" si="1"/>
        <v>0.23676335877862595</v>
      </c>
    </row>
    <row r="33" spans="1:14" ht="15" hidden="1" customHeight="1">
      <c r="A33" s="30" t="s">
        <v>343</v>
      </c>
      <c r="B33" s="30" t="s">
        <v>345</v>
      </c>
      <c r="C33" s="73">
        <v>45330</v>
      </c>
      <c r="D33" s="30">
        <v>321</v>
      </c>
      <c r="E33" s="30" t="s">
        <v>346</v>
      </c>
      <c r="F33" s="30" t="s">
        <v>344</v>
      </c>
      <c r="G33" s="30" t="s">
        <v>361</v>
      </c>
      <c r="H33" s="30">
        <v>697487</v>
      </c>
      <c r="I33" s="30"/>
      <c r="J33" s="30" t="s">
        <v>182</v>
      </c>
      <c r="K33" s="64">
        <v>169</v>
      </c>
      <c r="L33" s="143">
        <v>151.84100000000001</v>
      </c>
      <c r="M33" s="64">
        <f t="shared" si="0"/>
        <v>17.158999999999992</v>
      </c>
      <c r="N33" s="54">
        <f t="shared" si="1"/>
        <v>0.89846745562130181</v>
      </c>
    </row>
    <row r="34" spans="1:14" ht="15" hidden="1" customHeight="1">
      <c r="A34" s="30" t="s">
        <v>343</v>
      </c>
      <c r="B34" s="30" t="s">
        <v>345</v>
      </c>
      <c r="C34" s="73">
        <v>45330</v>
      </c>
      <c r="D34" s="30">
        <v>321</v>
      </c>
      <c r="E34" s="30" t="s">
        <v>346</v>
      </c>
      <c r="F34" s="30" t="s">
        <v>344</v>
      </c>
      <c r="G34" s="30" t="s">
        <v>362</v>
      </c>
      <c r="H34" s="30">
        <v>954645</v>
      </c>
      <c r="I34" s="30"/>
      <c r="J34" s="30" t="s">
        <v>181</v>
      </c>
      <c r="K34" s="64">
        <v>44</v>
      </c>
      <c r="L34" s="143">
        <v>7.4790000000000001</v>
      </c>
      <c r="M34" s="64">
        <f t="shared" si="0"/>
        <v>36.521000000000001</v>
      </c>
      <c r="N34" s="54">
        <f t="shared" si="1"/>
        <v>0.16997727272727273</v>
      </c>
    </row>
    <row r="35" spans="1:14" ht="15" hidden="1" customHeight="1">
      <c r="A35" s="30" t="s">
        <v>343</v>
      </c>
      <c r="B35" s="30" t="s">
        <v>345</v>
      </c>
      <c r="C35" s="73">
        <v>45330</v>
      </c>
      <c r="D35" s="30">
        <v>321</v>
      </c>
      <c r="E35" s="30" t="s">
        <v>346</v>
      </c>
      <c r="F35" s="30" t="s">
        <v>344</v>
      </c>
      <c r="G35" s="30" t="s">
        <v>362</v>
      </c>
      <c r="H35" s="30">
        <v>954645</v>
      </c>
      <c r="I35" s="30"/>
      <c r="J35" s="30" t="s">
        <v>182</v>
      </c>
      <c r="K35" s="64">
        <v>56</v>
      </c>
      <c r="L35" s="143">
        <v>39.280999999999999</v>
      </c>
      <c r="M35" s="64">
        <f t="shared" si="0"/>
        <v>16.719000000000001</v>
      </c>
      <c r="N35" s="54">
        <f t="shared" si="1"/>
        <v>0.70144642857142858</v>
      </c>
    </row>
    <row r="36" spans="1:14" ht="15" hidden="1" customHeight="1">
      <c r="A36" s="30" t="s">
        <v>343</v>
      </c>
      <c r="B36" s="30" t="s">
        <v>345</v>
      </c>
      <c r="C36" s="73">
        <v>45330</v>
      </c>
      <c r="D36" s="30">
        <v>321</v>
      </c>
      <c r="E36" s="30" t="s">
        <v>346</v>
      </c>
      <c r="F36" s="30" t="s">
        <v>344</v>
      </c>
      <c r="G36" s="30" t="s">
        <v>363</v>
      </c>
      <c r="H36" s="30">
        <v>968770</v>
      </c>
      <c r="I36" s="30"/>
      <c r="J36" s="30" t="s">
        <v>181</v>
      </c>
      <c r="K36" s="64">
        <v>131</v>
      </c>
      <c r="L36" s="143">
        <v>82.304000000000002</v>
      </c>
      <c r="M36" s="64">
        <f t="shared" ref="M36:M67" si="2">K36-L36</f>
        <v>48.695999999999998</v>
      </c>
      <c r="N36" s="54">
        <f t="shared" ref="N36:N67" si="3">L36/K36</f>
        <v>0.62827480916030531</v>
      </c>
    </row>
    <row r="37" spans="1:14" ht="15" hidden="1" customHeight="1">
      <c r="A37" s="30" t="s">
        <v>343</v>
      </c>
      <c r="B37" s="30" t="s">
        <v>345</v>
      </c>
      <c r="C37" s="73">
        <v>45330</v>
      </c>
      <c r="D37" s="30">
        <v>321</v>
      </c>
      <c r="E37" s="30" t="s">
        <v>346</v>
      </c>
      <c r="F37" s="30" t="s">
        <v>344</v>
      </c>
      <c r="G37" s="30" t="s">
        <v>363</v>
      </c>
      <c r="H37" s="30">
        <v>968770</v>
      </c>
      <c r="I37" s="30"/>
      <c r="J37" s="30" t="s">
        <v>182</v>
      </c>
      <c r="K37" s="64">
        <v>169</v>
      </c>
      <c r="L37" s="143">
        <v>169</v>
      </c>
      <c r="M37" s="64">
        <f t="shared" si="2"/>
        <v>0</v>
      </c>
      <c r="N37" s="54">
        <f t="shared" si="3"/>
        <v>1</v>
      </c>
    </row>
    <row r="38" spans="1:14" ht="15" hidden="1" customHeight="1">
      <c r="A38" s="30" t="s">
        <v>343</v>
      </c>
      <c r="B38" s="30" t="s">
        <v>345</v>
      </c>
      <c r="C38" s="73">
        <v>45330</v>
      </c>
      <c r="D38" s="30">
        <v>321</v>
      </c>
      <c r="E38" s="30" t="s">
        <v>346</v>
      </c>
      <c r="F38" s="30" t="s">
        <v>344</v>
      </c>
      <c r="G38" s="30" t="s">
        <v>364</v>
      </c>
      <c r="H38" s="30">
        <v>967983</v>
      </c>
      <c r="I38" s="30"/>
      <c r="J38" s="30" t="s">
        <v>181</v>
      </c>
      <c r="K38" s="64">
        <v>131</v>
      </c>
      <c r="L38" s="143"/>
      <c r="M38" s="64">
        <f t="shared" si="2"/>
        <v>131</v>
      </c>
      <c r="N38" s="54">
        <f t="shared" si="3"/>
        <v>0</v>
      </c>
    </row>
    <row r="39" spans="1:14" ht="15" hidden="1" customHeight="1">
      <c r="A39" s="30" t="s">
        <v>343</v>
      </c>
      <c r="B39" s="30" t="s">
        <v>345</v>
      </c>
      <c r="C39" s="73">
        <v>45330</v>
      </c>
      <c r="D39" s="30">
        <v>321</v>
      </c>
      <c r="E39" s="30" t="s">
        <v>346</v>
      </c>
      <c r="F39" s="30" t="s">
        <v>344</v>
      </c>
      <c r="G39" s="30" t="s">
        <v>364</v>
      </c>
      <c r="H39" s="30">
        <v>967983</v>
      </c>
      <c r="I39" s="30"/>
      <c r="J39" s="30" t="s">
        <v>182</v>
      </c>
      <c r="K39" s="64">
        <v>169</v>
      </c>
      <c r="L39" s="143"/>
      <c r="M39" s="64">
        <f t="shared" si="2"/>
        <v>169</v>
      </c>
      <c r="N39" s="54">
        <f t="shared" si="3"/>
        <v>0</v>
      </c>
    </row>
    <row r="40" spans="1:14" ht="15" hidden="1" customHeight="1">
      <c r="A40" s="30" t="s">
        <v>343</v>
      </c>
      <c r="B40" s="30" t="s">
        <v>345</v>
      </c>
      <c r="C40" s="73">
        <v>45330</v>
      </c>
      <c r="D40" s="30">
        <v>321</v>
      </c>
      <c r="E40" s="30" t="s">
        <v>346</v>
      </c>
      <c r="F40" s="30" t="s">
        <v>344</v>
      </c>
      <c r="G40" s="30" t="s">
        <v>365</v>
      </c>
      <c r="H40" s="30">
        <v>955250</v>
      </c>
      <c r="I40" s="30"/>
      <c r="J40" s="30" t="s">
        <v>181</v>
      </c>
      <c r="K40" s="64">
        <v>131</v>
      </c>
      <c r="L40" s="143">
        <v>10.108000000000001</v>
      </c>
      <c r="M40" s="64">
        <f t="shared" si="2"/>
        <v>120.892</v>
      </c>
      <c r="N40" s="54">
        <f t="shared" si="3"/>
        <v>7.7160305343511454E-2</v>
      </c>
    </row>
    <row r="41" spans="1:14" ht="15" hidden="1" customHeight="1">
      <c r="A41" s="30" t="s">
        <v>343</v>
      </c>
      <c r="B41" s="30" t="s">
        <v>345</v>
      </c>
      <c r="C41" s="73">
        <v>45330</v>
      </c>
      <c r="D41" s="30">
        <v>321</v>
      </c>
      <c r="E41" s="30" t="s">
        <v>346</v>
      </c>
      <c r="F41" s="30" t="s">
        <v>344</v>
      </c>
      <c r="G41" s="30" t="s">
        <v>365</v>
      </c>
      <c r="H41" s="30">
        <v>955250</v>
      </c>
      <c r="I41" s="30"/>
      <c r="J41" s="30" t="s">
        <v>182</v>
      </c>
      <c r="K41" s="64">
        <v>169</v>
      </c>
      <c r="L41" s="143">
        <v>18.847000000000001</v>
      </c>
      <c r="M41" s="64">
        <f t="shared" si="2"/>
        <v>150.15299999999999</v>
      </c>
      <c r="N41" s="54">
        <f t="shared" si="3"/>
        <v>0.11152071005917161</v>
      </c>
    </row>
    <row r="42" spans="1:14" ht="15" hidden="1" customHeight="1">
      <c r="A42" s="30" t="s">
        <v>343</v>
      </c>
      <c r="B42" s="30" t="s">
        <v>345</v>
      </c>
      <c r="C42" s="73">
        <v>45330</v>
      </c>
      <c r="D42" s="30">
        <v>321</v>
      </c>
      <c r="E42" s="30" t="s">
        <v>346</v>
      </c>
      <c r="F42" s="30" t="s">
        <v>344</v>
      </c>
      <c r="G42" s="30" t="s">
        <v>434</v>
      </c>
      <c r="H42" s="30">
        <v>701702</v>
      </c>
      <c r="I42" s="30"/>
      <c r="J42" s="30" t="s">
        <v>181</v>
      </c>
      <c r="K42" s="64">
        <v>131</v>
      </c>
      <c r="L42" s="143"/>
      <c r="M42" s="64">
        <f t="shared" si="2"/>
        <v>131</v>
      </c>
      <c r="N42" s="54">
        <f t="shared" si="3"/>
        <v>0</v>
      </c>
    </row>
    <row r="43" spans="1:14" ht="15" hidden="1" customHeight="1">
      <c r="A43" s="30" t="s">
        <v>343</v>
      </c>
      <c r="B43" s="30" t="s">
        <v>345</v>
      </c>
      <c r="C43" s="73">
        <v>45330</v>
      </c>
      <c r="D43" s="30">
        <v>321</v>
      </c>
      <c r="E43" s="30" t="s">
        <v>346</v>
      </c>
      <c r="F43" s="30" t="s">
        <v>344</v>
      </c>
      <c r="G43" s="30" t="s">
        <v>434</v>
      </c>
      <c r="H43" s="30">
        <v>701702</v>
      </c>
      <c r="I43" s="30"/>
      <c r="J43" s="30" t="s">
        <v>182</v>
      </c>
      <c r="K43" s="64">
        <v>169</v>
      </c>
      <c r="L43" s="143"/>
      <c r="M43" s="64">
        <f t="shared" si="2"/>
        <v>169</v>
      </c>
      <c r="N43" s="54">
        <f t="shared" si="3"/>
        <v>0</v>
      </c>
    </row>
    <row r="44" spans="1:14" ht="15" hidden="1" customHeight="1">
      <c r="A44" s="30" t="s">
        <v>343</v>
      </c>
      <c r="B44" s="30" t="s">
        <v>345</v>
      </c>
      <c r="C44" s="73">
        <v>45330</v>
      </c>
      <c r="D44" s="30">
        <v>321</v>
      </c>
      <c r="E44" s="30" t="s">
        <v>346</v>
      </c>
      <c r="F44" s="30" t="s">
        <v>344</v>
      </c>
      <c r="G44" s="30" t="s">
        <v>366</v>
      </c>
      <c r="H44" s="30">
        <v>701703</v>
      </c>
      <c r="I44" s="30"/>
      <c r="J44" s="30" t="s">
        <v>181</v>
      </c>
      <c r="K44" s="64">
        <v>131</v>
      </c>
      <c r="L44" s="143">
        <v>101.694</v>
      </c>
      <c r="M44" s="64">
        <f t="shared" si="2"/>
        <v>29.305999999999997</v>
      </c>
      <c r="N44" s="54">
        <f t="shared" si="3"/>
        <v>0.77629007633587788</v>
      </c>
    </row>
    <row r="45" spans="1:14" ht="15" hidden="1" customHeight="1">
      <c r="A45" s="30" t="s">
        <v>343</v>
      </c>
      <c r="B45" s="30" t="s">
        <v>345</v>
      </c>
      <c r="C45" s="73">
        <v>45330</v>
      </c>
      <c r="D45" s="30">
        <v>321</v>
      </c>
      <c r="E45" s="30" t="s">
        <v>346</v>
      </c>
      <c r="F45" s="30" t="s">
        <v>344</v>
      </c>
      <c r="G45" s="30" t="s">
        <v>366</v>
      </c>
      <c r="H45" s="30">
        <v>701703</v>
      </c>
      <c r="I45" s="30"/>
      <c r="J45" s="30" t="s">
        <v>182</v>
      </c>
      <c r="K45" s="64">
        <v>169</v>
      </c>
      <c r="L45" s="143">
        <v>198.30600000000001</v>
      </c>
      <c r="M45" s="64">
        <f t="shared" si="2"/>
        <v>-29.306000000000012</v>
      </c>
      <c r="N45" s="54">
        <f t="shared" si="3"/>
        <v>1.1734082840236688</v>
      </c>
    </row>
    <row r="46" spans="1:14" ht="15" hidden="1" customHeight="1">
      <c r="A46" s="30" t="s">
        <v>343</v>
      </c>
      <c r="B46" s="30" t="s">
        <v>345</v>
      </c>
      <c r="C46" s="73">
        <v>45330</v>
      </c>
      <c r="D46" s="30">
        <v>321</v>
      </c>
      <c r="E46" s="30" t="s">
        <v>346</v>
      </c>
      <c r="F46" s="30" t="s">
        <v>344</v>
      </c>
      <c r="G46" s="30" t="s">
        <v>367</v>
      </c>
      <c r="H46" s="30">
        <v>702012</v>
      </c>
      <c r="I46" s="30"/>
      <c r="J46" s="30" t="s">
        <v>181</v>
      </c>
      <c r="K46" s="64">
        <v>131</v>
      </c>
      <c r="L46" s="143">
        <v>4.5330000000000004</v>
      </c>
      <c r="M46" s="64">
        <f t="shared" si="2"/>
        <v>126.467</v>
      </c>
      <c r="N46" s="54">
        <f t="shared" si="3"/>
        <v>3.4603053435114509E-2</v>
      </c>
    </row>
    <row r="47" spans="1:14" ht="15" hidden="1" customHeight="1">
      <c r="A47" s="30" t="s">
        <v>343</v>
      </c>
      <c r="B47" s="30" t="s">
        <v>345</v>
      </c>
      <c r="C47" s="73">
        <v>45330</v>
      </c>
      <c r="D47" s="30">
        <v>321</v>
      </c>
      <c r="E47" s="30" t="s">
        <v>346</v>
      </c>
      <c r="F47" s="30" t="s">
        <v>344</v>
      </c>
      <c r="G47" s="30" t="s">
        <v>367</v>
      </c>
      <c r="H47" s="30">
        <v>702012</v>
      </c>
      <c r="I47" s="30"/>
      <c r="J47" s="30" t="s">
        <v>182</v>
      </c>
      <c r="K47" s="64">
        <v>169</v>
      </c>
      <c r="L47" s="143">
        <v>17.87</v>
      </c>
      <c r="M47" s="64">
        <f t="shared" si="2"/>
        <v>151.13</v>
      </c>
      <c r="N47" s="54">
        <f t="shared" si="3"/>
        <v>0.1057396449704142</v>
      </c>
    </row>
    <row r="48" spans="1:14" ht="15" hidden="1" customHeight="1">
      <c r="A48" s="30" t="s">
        <v>343</v>
      </c>
      <c r="B48" s="30" t="s">
        <v>345</v>
      </c>
      <c r="C48" s="73">
        <v>45330</v>
      </c>
      <c r="D48" s="30">
        <v>321</v>
      </c>
      <c r="E48" s="30" t="s">
        <v>346</v>
      </c>
      <c r="F48" s="30" t="s">
        <v>344</v>
      </c>
      <c r="G48" s="30" t="s">
        <v>368</v>
      </c>
      <c r="H48" s="30">
        <v>966763</v>
      </c>
      <c r="I48" s="30"/>
      <c r="J48" s="30" t="s">
        <v>181</v>
      </c>
      <c r="K48" s="64">
        <v>131</v>
      </c>
      <c r="L48" s="143"/>
      <c r="M48" s="64">
        <f t="shared" si="2"/>
        <v>131</v>
      </c>
      <c r="N48" s="54">
        <f t="shared" si="3"/>
        <v>0</v>
      </c>
    </row>
    <row r="49" spans="1:14" ht="15" hidden="1" customHeight="1">
      <c r="A49" s="30" t="s">
        <v>343</v>
      </c>
      <c r="B49" s="30" t="s">
        <v>345</v>
      </c>
      <c r="C49" s="73">
        <v>45330</v>
      </c>
      <c r="D49" s="30">
        <v>321</v>
      </c>
      <c r="E49" s="30" t="s">
        <v>346</v>
      </c>
      <c r="F49" s="30" t="s">
        <v>344</v>
      </c>
      <c r="G49" s="30" t="s">
        <v>368</v>
      </c>
      <c r="H49" s="30">
        <v>966763</v>
      </c>
      <c r="I49" s="30"/>
      <c r="J49" s="30" t="s">
        <v>182</v>
      </c>
      <c r="K49" s="64">
        <v>169</v>
      </c>
      <c r="L49" s="143"/>
      <c r="M49" s="64">
        <f t="shared" si="2"/>
        <v>169</v>
      </c>
      <c r="N49" s="54">
        <f t="shared" si="3"/>
        <v>0</v>
      </c>
    </row>
    <row r="50" spans="1:14" ht="15" hidden="1" customHeight="1">
      <c r="A50" s="30" t="s">
        <v>343</v>
      </c>
      <c r="B50" s="30" t="s">
        <v>345</v>
      </c>
      <c r="C50" s="73">
        <v>45330</v>
      </c>
      <c r="D50" s="30">
        <v>321</v>
      </c>
      <c r="E50" s="30" t="s">
        <v>346</v>
      </c>
      <c r="F50" s="30" t="s">
        <v>344</v>
      </c>
      <c r="G50" s="30" t="s">
        <v>369</v>
      </c>
      <c r="H50" s="30">
        <v>966146</v>
      </c>
      <c r="I50" s="30"/>
      <c r="J50" s="30" t="s">
        <v>181</v>
      </c>
      <c r="K50" s="64">
        <v>131</v>
      </c>
      <c r="L50" s="143">
        <v>163.07400000000001</v>
      </c>
      <c r="M50" s="64">
        <f t="shared" si="2"/>
        <v>-32.074000000000012</v>
      </c>
      <c r="N50" s="54">
        <f t="shared" si="3"/>
        <v>1.2448396946564886</v>
      </c>
    </row>
    <row r="51" spans="1:14" ht="15" hidden="1" customHeight="1">
      <c r="A51" s="30" t="s">
        <v>343</v>
      </c>
      <c r="B51" s="30" t="s">
        <v>345</v>
      </c>
      <c r="C51" s="73">
        <v>45330</v>
      </c>
      <c r="D51" s="30">
        <v>321</v>
      </c>
      <c r="E51" s="30" t="s">
        <v>346</v>
      </c>
      <c r="F51" s="30" t="s">
        <v>344</v>
      </c>
      <c r="G51" s="30" t="s">
        <v>369</v>
      </c>
      <c r="H51" s="30">
        <v>966146</v>
      </c>
      <c r="I51" s="30"/>
      <c r="J51" s="30" t="s">
        <v>182</v>
      </c>
      <c r="K51" s="64">
        <v>169</v>
      </c>
      <c r="L51" s="143">
        <v>136.92599999999999</v>
      </c>
      <c r="M51" s="64">
        <f t="shared" si="2"/>
        <v>32.074000000000012</v>
      </c>
      <c r="N51" s="54">
        <f t="shared" si="3"/>
        <v>0.81021301775147925</v>
      </c>
    </row>
    <row r="52" spans="1:14" ht="15" hidden="1" customHeight="1">
      <c r="A52" s="30" t="s">
        <v>343</v>
      </c>
      <c r="B52" s="30" t="s">
        <v>345</v>
      </c>
      <c r="C52" s="73">
        <v>45330</v>
      </c>
      <c r="D52" s="30">
        <v>321</v>
      </c>
      <c r="E52" s="30" t="s">
        <v>346</v>
      </c>
      <c r="F52" s="30" t="s">
        <v>344</v>
      </c>
      <c r="G52" s="30" t="s">
        <v>370</v>
      </c>
      <c r="H52" s="30">
        <v>958067</v>
      </c>
      <c r="I52" s="30"/>
      <c r="J52" s="30" t="s">
        <v>181</v>
      </c>
      <c r="K52" s="64">
        <v>131</v>
      </c>
      <c r="L52" s="143">
        <v>9.8840000000000003</v>
      </c>
      <c r="M52" s="64">
        <f t="shared" si="2"/>
        <v>121.116</v>
      </c>
      <c r="N52" s="54">
        <f t="shared" si="3"/>
        <v>7.545038167938932E-2</v>
      </c>
    </row>
    <row r="53" spans="1:14" ht="15" hidden="1" customHeight="1">
      <c r="A53" s="30" t="s">
        <v>343</v>
      </c>
      <c r="B53" s="30" t="s">
        <v>345</v>
      </c>
      <c r="C53" s="73">
        <v>45330</v>
      </c>
      <c r="D53" s="30">
        <v>321</v>
      </c>
      <c r="E53" s="30" t="s">
        <v>346</v>
      </c>
      <c r="F53" s="30" t="s">
        <v>344</v>
      </c>
      <c r="G53" s="30" t="s">
        <v>370</v>
      </c>
      <c r="H53" s="30">
        <v>958067</v>
      </c>
      <c r="I53" s="30"/>
      <c r="J53" s="30" t="s">
        <v>182</v>
      </c>
      <c r="K53" s="64">
        <v>169</v>
      </c>
      <c r="L53" s="143">
        <v>1.986</v>
      </c>
      <c r="M53" s="64">
        <f t="shared" si="2"/>
        <v>167.01400000000001</v>
      </c>
      <c r="N53" s="54">
        <f t="shared" si="3"/>
        <v>1.1751479289940829E-2</v>
      </c>
    </row>
    <row r="54" spans="1:14" ht="15" hidden="1" customHeight="1">
      <c r="A54" s="30" t="s">
        <v>343</v>
      </c>
      <c r="B54" s="30" t="s">
        <v>345</v>
      </c>
      <c r="C54" s="73">
        <v>45330</v>
      </c>
      <c r="D54" s="30">
        <v>321</v>
      </c>
      <c r="E54" s="30" t="s">
        <v>346</v>
      </c>
      <c r="F54" s="30" t="s">
        <v>344</v>
      </c>
      <c r="G54" s="30" t="s">
        <v>371</v>
      </c>
      <c r="H54" s="30">
        <v>968764</v>
      </c>
      <c r="I54" s="30"/>
      <c r="J54" s="30" t="s">
        <v>181</v>
      </c>
      <c r="K54" s="64">
        <v>131</v>
      </c>
      <c r="L54" s="143">
        <v>99.567999999999998</v>
      </c>
      <c r="M54" s="64">
        <f t="shared" si="2"/>
        <v>31.432000000000002</v>
      </c>
      <c r="N54" s="54">
        <f t="shared" si="3"/>
        <v>0.76006106870229007</v>
      </c>
    </row>
    <row r="55" spans="1:14" ht="15" hidden="1" customHeight="1">
      <c r="A55" s="30" t="s">
        <v>343</v>
      </c>
      <c r="B55" s="30" t="s">
        <v>345</v>
      </c>
      <c r="C55" s="73">
        <v>45330</v>
      </c>
      <c r="D55" s="30">
        <v>321</v>
      </c>
      <c r="E55" s="30" t="s">
        <v>346</v>
      </c>
      <c r="F55" s="30" t="s">
        <v>344</v>
      </c>
      <c r="G55" s="30" t="s">
        <v>371</v>
      </c>
      <c r="H55" s="30">
        <v>968764</v>
      </c>
      <c r="I55" s="30"/>
      <c r="J55" s="30" t="s">
        <v>182</v>
      </c>
      <c r="K55" s="64">
        <v>169</v>
      </c>
      <c r="L55" s="143">
        <v>200.429</v>
      </c>
      <c r="M55" s="64">
        <f t="shared" si="2"/>
        <v>-31.429000000000002</v>
      </c>
      <c r="N55" s="54">
        <f t="shared" si="3"/>
        <v>1.1859704142011835</v>
      </c>
    </row>
    <row r="56" spans="1:14" ht="15" hidden="1" customHeight="1">
      <c r="A56" s="30" t="s">
        <v>343</v>
      </c>
      <c r="B56" s="30" t="s">
        <v>345</v>
      </c>
      <c r="C56" s="73">
        <v>45330</v>
      </c>
      <c r="D56" s="30">
        <v>321</v>
      </c>
      <c r="E56" s="30" t="s">
        <v>346</v>
      </c>
      <c r="F56" s="30" t="s">
        <v>344</v>
      </c>
      <c r="G56" s="30" t="s">
        <v>372</v>
      </c>
      <c r="H56" s="30">
        <v>959347</v>
      </c>
      <c r="I56" s="30"/>
      <c r="J56" s="30" t="s">
        <v>181</v>
      </c>
      <c r="K56" s="64">
        <v>131</v>
      </c>
      <c r="L56" s="143">
        <v>39.83</v>
      </c>
      <c r="M56" s="64">
        <f t="shared" si="2"/>
        <v>91.17</v>
      </c>
      <c r="N56" s="54">
        <f t="shared" si="3"/>
        <v>0.30404580152671756</v>
      </c>
    </row>
    <row r="57" spans="1:14" ht="15" hidden="1" customHeight="1">
      <c r="A57" s="30" t="s">
        <v>343</v>
      </c>
      <c r="B57" s="30" t="s">
        <v>345</v>
      </c>
      <c r="C57" s="73">
        <v>45330</v>
      </c>
      <c r="D57" s="30">
        <v>321</v>
      </c>
      <c r="E57" s="30" t="s">
        <v>346</v>
      </c>
      <c r="F57" s="30" t="s">
        <v>344</v>
      </c>
      <c r="G57" s="30" t="s">
        <v>372</v>
      </c>
      <c r="H57" s="30">
        <v>959347</v>
      </c>
      <c r="I57" s="30"/>
      <c r="J57" s="30" t="s">
        <v>182</v>
      </c>
      <c r="K57" s="64">
        <v>169</v>
      </c>
      <c r="L57" s="143">
        <v>171.06200000000001</v>
      </c>
      <c r="M57" s="64">
        <f t="shared" si="2"/>
        <v>-2.0620000000000118</v>
      </c>
      <c r="N57" s="54">
        <f t="shared" si="3"/>
        <v>1.0122011834319526</v>
      </c>
    </row>
    <row r="58" spans="1:14" ht="15" hidden="1" customHeight="1">
      <c r="A58" s="30" t="s">
        <v>343</v>
      </c>
      <c r="B58" s="30" t="s">
        <v>345</v>
      </c>
      <c r="C58" s="73">
        <v>45330</v>
      </c>
      <c r="D58" s="30">
        <v>321</v>
      </c>
      <c r="E58" s="30" t="s">
        <v>346</v>
      </c>
      <c r="F58" s="30" t="s">
        <v>344</v>
      </c>
      <c r="G58" s="30" t="s">
        <v>373</v>
      </c>
      <c r="H58" s="30">
        <v>968606</v>
      </c>
      <c r="I58" s="30"/>
      <c r="J58" s="30" t="s">
        <v>181</v>
      </c>
      <c r="K58" s="64">
        <v>131</v>
      </c>
      <c r="L58" s="143">
        <v>73.929000000000002</v>
      </c>
      <c r="M58" s="64">
        <f t="shared" si="2"/>
        <v>57.070999999999998</v>
      </c>
      <c r="N58" s="54">
        <f t="shared" si="3"/>
        <v>0.56434351145038164</v>
      </c>
    </row>
    <row r="59" spans="1:14" ht="15" hidden="1" customHeight="1">
      <c r="A59" s="30" t="s">
        <v>343</v>
      </c>
      <c r="B59" s="30" t="s">
        <v>345</v>
      </c>
      <c r="C59" s="73">
        <v>45330</v>
      </c>
      <c r="D59" s="30">
        <v>321</v>
      </c>
      <c r="E59" s="30" t="s">
        <v>346</v>
      </c>
      <c r="F59" s="30" t="s">
        <v>344</v>
      </c>
      <c r="G59" s="30" t="s">
        <v>373</v>
      </c>
      <c r="H59" s="30">
        <v>968606</v>
      </c>
      <c r="I59" s="30"/>
      <c r="J59" s="30" t="s">
        <v>182</v>
      </c>
      <c r="K59" s="64">
        <v>169</v>
      </c>
      <c r="L59" s="143">
        <v>226.071</v>
      </c>
      <c r="M59" s="64">
        <f t="shared" si="2"/>
        <v>-57.070999999999998</v>
      </c>
      <c r="N59" s="54">
        <f t="shared" si="3"/>
        <v>1.337698224852071</v>
      </c>
    </row>
    <row r="60" spans="1:14" ht="15" hidden="1" customHeight="1">
      <c r="A60" s="30" t="s">
        <v>343</v>
      </c>
      <c r="B60" s="30" t="s">
        <v>345</v>
      </c>
      <c r="C60" s="73">
        <v>45330</v>
      </c>
      <c r="D60" s="30">
        <v>321</v>
      </c>
      <c r="E60" s="30" t="s">
        <v>346</v>
      </c>
      <c r="F60" s="30" t="s">
        <v>344</v>
      </c>
      <c r="G60" s="30" t="s">
        <v>374</v>
      </c>
      <c r="H60" s="30">
        <v>697455</v>
      </c>
      <c r="I60" s="30"/>
      <c r="J60" s="30" t="s">
        <v>181</v>
      </c>
      <c r="K60" s="64">
        <v>66</v>
      </c>
      <c r="L60" s="143">
        <v>24.21</v>
      </c>
      <c r="M60" s="64">
        <f t="shared" si="2"/>
        <v>41.79</v>
      </c>
      <c r="N60" s="54">
        <f t="shared" si="3"/>
        <v>0.36681818181818182</v>
      </c>
    </row>
    <row r="61" spans="1:14" ht="15" hidden="1" customHeight="1">
      <c r="A61" s="30" t="s">
        <v>343</v>
      </c>
      <c r="B61" s="30" t="s">
        <v>345</v>
      </c>
      <c r="C61" s="73">
        <v>45330</v>
      </c>
      <c r="D61" s="30">
        <v>321</v>
      </c>
      <c r="E61" s="30" t="s">
        <v>346</v>
      </c>
      <c r="F61" s="30" t="s">
        <v>344</v>
      </c>
      <c r="G61" s="30" t="s">
        <v>374</v>
      </c>
      <c r="H61" s="30">
        <v>697455</v>
      </c>
      <c r="I61" s="30"/>
      <c r="J61" s="30" t="s">
        <v>182</v>
      </c>
      <c r="K61" s="64">
        <v>84</v>
      </c>
      <c r="L61" s="143">
        <v>125.79</v>
      </c>
      <c r="M61" s="64">
        <f t="shared" si="2"/>
        <v>-41.790000000000006</v>
      </c>
      <c r="N61" s="54">
        <f t="shared" si="3"/>
        <v>1.4975000000000001</v>
      </c>
    </row>
    <row r="62" spans="1:14" ht="15" hidden="1" customHeight="1">
      <c r="A62" s="30" t="s">
        <v>375</v>
      </c>
      <c r="B62" s="30" t="s">
        <v>345</v>
      </c>
      <c r="C62" s="73">
        <v>45330</v>
      </c>
      <c r="D62" s="30">
        <v>341</v>
      </c>
      <c r="E62" s="30" t="s">
        <v>346</v>
      </c>
      <c r="F62" s="30" t="s">
        <v>377</v>
      </c>
      <c r="G62" s="30" t="s">
        <v>376</v>
      </c>
      <c r="H62" s="30">
        <v>700660</v>
      </c>
      <c r="I62" s="30"/>
      <c r="J62" s="30" t="s">
        <v>181</v>
      </c>
      <c r="K62" s="64">
        <v>350</v>
      </c>
      <c r="L62" s="143"/>
      <c r="M62" s="64">
        <f t="shared" si="2"/>
        <v>350</v>
      </c>
      <c r="N62" s="54">
        <f t="shared" si="3"/>
        <v>0</v>
      </c>
    </row>
    <row r="63" spans="1:14" ht="15" hidden="1" customHeight="1">
      <c r="A63" s="30" t="s">
        <v>375</v>
      </c>
      <c r="B63" s="30" t="s">
        <v>345</v>
      </c>
      <c r="C63" s="73">
        <v>45330</v>
      </c>
      <c r="D63" s="30">
        <v>341</v>
      </c>
      <c r="E63" s="30" t="s">
        <v>346</v>
      </c>
      <c r="F63" s="30" t="s">
        <v>377</v>
      </c>
      <c r="G63" s="30" t="s">
        <v>376</v>
      </c>
      <c r="H63" s="30">
        <v>700660</v>
      </c>
      <c r="I63" s="30"/>
      <c r="J63" s="30" t="s">
        <v>182</v>
      </c>
      <c r="K63" s="64">
        <v>1300</v>
      </c>
      <c r="L63" s="143"/>
      <c r="M63" s="64">
        <f t="shared" si="2"/>
        <v>1300</v>
      </c>
      <c r="N63" s="54">
        <f t="shared" si="3"/>
        <v>0</v>
      </c>
    </row>
    <row r="64" spans="1:14" ht="15" hidden="1" customHeight="1">
      <c r="A64" s="30" t="s">
        <v>378</v>
      </c>
      <c r="B64" s="30" t="s">
        <v>345</v>
      </c>
      <c r="C64" s="73">
        <v>45330</v>
      </c>
      <c r="D64" s="30">
        <v>340</v>
      </c>
      <c r="E64" s="30" t="s">
        <v>346</v>
      </c>
      <c r="F64" s="30" t="s">
        <v>377</v>
      </c>
      <c r="G64" s="30" t="s">
        <v>379</v>
      </c>
      <c r="H64" s="30">
        <v>958905</v>
      </c>
      <c r="I64" s="30"/>
      <c r="J64" s="30" t="s">
        <v>181</v>
      </c>
      <c r="K64" s="64">
        <v>365.85500000000002</v>
      </c>
      <c r="L64" s="143">
        <v>409.49799999999999</v>
      </c>
      <c r="M64" s="64">
        <f t="shared" si="2"/>
        <v>-43.642999999999972</v>
      </c>
      <c r="N64" s="54">
        <f t="shared" si="3"/>
        <v>1.119290429268426</v>
      </c>
    </row>
    <row r="65" spans="1:14" ht="15" hidden="1" customHeight="1">
      <c r="A65" s="30" t="s">
        <v>378</v>
      </c>
      <c r="B65" s="30" t="s">
        <v>345</v>
      </c>
      <c r="C65" s="73">
        <v>45330</v>
      </c>
      <c r="D65" s="30">
        <v>340</v>
      </c>
      <c r="E65" s="30" t="s">
        <v>346</v>
      </c>
      <c r="F65" s="30" t="s">
        <v>377</v>
      </c>
      <c r="G65" s="30" t="s">
        <v>379</v>
      </c>
      <c r="H65" s="30">
        <v>958905</v>
      </c>
      <c r="I65" s="30"/>
      <c r="J65" s="30" t="s">
        <v>182</v>
      </c>
      <c r="K65" s="64">
        <v>818.51700000000005</v>
      </c>
      <c r="L65" s="143">
        <v>35.795999999999999</v>
      </c>
      <c r="M65" s="64">
        <f t="shared" si="2"/>
        <v>782.721</v>
      </c>
      <c r="N65" s="54">
        <f t="shared" si="3"/>
        <v>4.373275081641554E-2</v>
      </c>
    </row>
    <row r="66" spans="1:14" ht="15" hidden="1" customHeight="1">
      <c r="A66" s="30" t="s">
        <v>380</v>
      </c>
      <c r="B66" s="30" t="s">
        <v>345</v>
      </c>
      <c r="C66" s="73">
        <v>45335</v>
      </c>
      <c r="D66" s="30">
        <v>377</v>
      </c>
      <c r="E66" s="30" t="s">
        <v>346</v>
      </c>
      <c r="F66" s="30" t="s">
        <v>344</v>
      </c>
      <c r="G66" s="30" t="s">
        <v>381</v>
      </c>
      <c r="H66" s="30">
        <v>954552</v>
      </c>
      <c r="I66" s="30"/>
      <c r="J66" s="30" t="s">
        <v>181</v>
      </c>
      <c r="K66" s="64">
        <v>297.60000000000002</v>
      </c>
      <c r="L66" s="143">
        <v>212.85400000000001</v>
      </c>
      <c r="M66" s="64">
        <f t="shared" si="2"/>
        <v>84.746000000000009</v>
      </c>
      <c r="N66" s="54">
        <f t="shared" si="3"/>
        <v>0.71523521505376342</v>
      </c>
    </row>
    <row r="67" spans="1:14" ht="15" hidden="1" customHeight="1">
      <c r="A67" s="30" t="s">
        <v>380</v>
      </c>
      <c r="B67" s="30" t="s">
        <v>345</v>
      </c>
      <c r="C67" s="73">
        <v>45335</v>
      </c>
      <c r="D67" s="30">
        <v>377</v>
      </c>
      <c r="E67" s="30" t="s">
        <v>346</v>
      </c>
      <c r="F67" s="30" t="s">
        <v>344</v>
      </c>
      <c r="G67" s="30" t="s">
        <v>381</v>
      </c>
      <c r="H67" s="30">
        <v>954552</v>
      </c>
      <c r="I67" s="30"/>
      <c r="J67" s="30" t="s">
        <v>182</v>
      </c>
      <c r="K67" s="64">
        <v>275.59399999999999</v>
      </c>
      <c r="L67" s="143">
        <v>197.76499999999999</v>
      </c>
      <c r="M67" s="64">
        <f t="shared" si="2"/>
        <v>77.829000000000008</v>
      </c>
      <c r="N67" s="54">
        <f t="shared" si="3"/>
        <v>0.71759544837696032</v>
      </c>
    </row>
    <row r="68" spans="1:14" ht="15" hidden="1" customHeight="1">
      <c r="A68" s="30" t="s">
        <v>382</v>
      </c>
      <c r="B68" s="30" t="s">
        <v>345</v>
      </c>
      <c r="C68" s="73">
        <v>45335</v>
      </c>
      <c r="D68" s="30">
        <v>376</v>
      </c>
      <c r="E68" s="30" t="s">
        <v>346</v>
      </c>
      <c r="F68" s="30" t="s">
        <v>377</v>
      </c>
      <c r="G68" s="30" t="s">
        <v>383</v>
      </c>
      <c r="H68" s="30">
        <v>968373</v>
      </c>
      <c r="I68" s="30"/>
      <c r="J68" s="30" t="s">
        <v>181</v>
      </c>
      <c r="K68" s="64">
        <v>100</v>
      </c>
      <c r="L68" s="143">
        <v>53.881999999999998</v>
      </c>
      <c r="M68" s="64">
        <f t="shared" ref="M68:M73" si="4">K68-L68</f>
        <v>46.118000000000002</v>
      </c>
      <c r="N68" s="54">
        <f t="shared" ref="N68:N73" si="5">L68/K68</f>
        <v>0.53881999999999997</v>
      </c>
    </row>
    <row r="69" spans="1:14" ht="15" hidden="1" customHeight="1">
      <c r="A69" s="30" t="s">
        <v>382</v>
      </c>
      <c r="B69" s="30" t="s">
        <v>345</v>
      </c>
      <c r="C69" s="73">
        <v>45335</v>
      </c>
      <c r="D69" s="30">
        <v>376</v>
      </c>
      <c r="E69" s="30" t="s">
        <v>346</v>
      </c>
      <c r="F69" s="30" t="s">
        <v>377</v>
      </c>
      <c r="G69" s="30" t="s">
        <v>383</v>
      </c>
      <c r="H69" s="30">
        <v>968373</v>
      </c>
      <c r="I69" s="30"/>
      <c r="J69" s="30" t="s">
        <v>182</v>
      </c>
      <c r="K69" s="64">
        <v>200</v>
      </c>
      <c r="L69" s="143">
        <v>69.350999999999999</v>
      </c>
      <c r="M69" s="64">
        <f t="shared" si="4"/>
        <v>130.649</v>
      </c>
      <c r="N69" s="54">
        <f t="shared" si="5"/>
        <v>0.34675499999999998</v>
      </c>
    </row>
    <row r="70" spans="1:14" ht="15" hidden="1" customHeight="1">
      <c r="A70" s="30" t="s">
        <v>382</v>
      </c>
      <c r="B70" s="30" t="s">
        <v>345</v>
      </c>
      <c r="C70" s="73">
        <v>45336</v>
      </c>
      <c r="D70" s="30">
        <v>404</v>
      </c>
      <c r="E70" s="30" t="s">
        <v>346</v>
      </c>
      <c r="F70" s="30" t="s">
        <v>377</v>
      </c>
      <c r="G70" s="30" t="s">
        <v>384</v>
      </c>
      <c r="H70" s="30">
        <v>700014</v>
      </c>
      <c r="I70" s="30"/>
      <c r="J70" s="30" t="s">
        <v>181</v>
      </c>
      <c r="K70" s="64">
        <v>184.923</v>
      </c>
      <c r="L70" s="143">
        <v>206.613</v>
      </c>
      <c r="M70" s="64">
        <f t="shared" si="4"/>
        <v>-21.689999999999998</v>
      </c>
      <c r="N70" s="54">
        <f t="shared" si="5"/>
        <v>1.1172920621015234</v>
      </c>
    </row>
    <row r="71" spans="1:14" ht="15" hidden="1" customHeight="1">
      <c r="A71" s="30" t="s">
        <v>382</v>
      </c>
      <c r="B71" s="30" t="s">
        <v>345</v>
      </c>
      <c r="C71" s="73">
        <v>45336</v>
      </c>
      <c r="D71" s="30">
        <v>404</v>
      </c>
      <c r="E71" s="30" t="s">
        <v>346</v>
      </c>
      <c r="F71" s="30" t="s">
        <v>377</v>
      </c>
      <c r="G71" s="30" t="s">
        <v>384</v>
      </c>
      <c r="H71" s="30">
        <v>700014</v>
      </c>
      <c r="I71" s="30"/>
      <c r="J71" s="30" t="s">
        <v>182</v>
      </c>
      <c r="K71" s="64">
        <v>298.98500000000001</v>
      </c>
      <c r="L71" s="143">
        <v>273.56299999999999</v>
      </c>
      <c r="M71" s="64">
        <f t="shared" si="4"/>
        <v>25.422000000000025</v>
      </c>
      <c r="N71" s="54">
        <f t="shared" si="5"/>
        <v>0.91497232302623865</v>
      </c>
    </row>
    <row r="72" spans="1:14" ht="15" hidden="1" customHeight="1">
      <c r="A72" s="30" t="s">
        <v>385</v>
      </c>
      <c r="B72" s="30" t="s">
        <v>345</v>
      </c>
      <c r="C72" s="73">
        <v>45338</v>
      </c>
      <c r="D72" s="30">
        <v>427</v>
      </c>
      <c r="E72" s="30" t="s">
        <v>346</v>
      </c>
      <c r="F72" s="30" t="s">
        <v>344</v>
      </c>
      <c r="G72" s="30" t="s">
        <v>386</v>
      </c>
      <c r="H72" s="30">
        <v>960993</v>
      </c>
      <c r="I72" s="30"/>
      <c r="J72" s="30" t="s">
        <v>181</v>
      </c>
      <c r="K72" s="64">
        <v>51</v>
      </c>
      <c r="L72" s="143">
        <v>40.552</v>
      </c>
      <c r="M72" s="64">
        <f t="shared" si="4"/>
        <v>10.448</v>
      </c>
      <c r="N72" s="54">
        <f t="shared" si="5"/>
        <v>0.79513725490196074</v>
      </c>
    </row>
    <row r="73" spans="1:14" ht="15" hidden="1" customHeight="1">
      <c r="A73" s="30" t="s">
        <v>385</v>
      </c>
      <c r="B73" s="30" t="s">
        <v>345</v>
      </c>
      <c r="C73" s="73">
        <v>45338</v>
      </c>
      <c r="D73" s="30">
        <v>427</v>
      </c>
      <c r="E73" s="30" t="s">
        <v>346</v>
      </c>
      <c r="F73" s="30" t="s">
        <v>344</v>
      </c>
      <c r="G73" s="30" t="s">
        <v>386</v>
      </c>
      <c r="H73" s="30">
        <v>960993</v>
      </c>
      <c r="I73" s="30"/>
      <c r="J73" s="30" t="s">
        <v>182</v>
      </c>
      <c r="K73" s="64">
        <v>99</v>
      </c>
      <c r="L73" s="143">
        <v>109.447</v>
      </c>
      <c r="M73" s="64">
        <f t="shared" si="4"/>
        <v>-10.447000000000003</v>
      </c>
      <c r="N73" s="54">
        <f t="shared" si="5"/>
        <v>1.1055252525252526</v>
      </c>
    </row>
    <row r="74" spans="1:14" ht="15" hidden="1" customHeight="1">
      <c r="A74" s="30" t="s">
        <v>385</v>
      </c>
      <c r="B74" s="30" t="s">
        <v>390</v>
      </c>
      <c r="C74" s="73">
        <v>45338</v>
      </c>
      <c r="D74" s="30">
        <v>427</v>
      </c>
      <c r="E74" s="30" t="s">
        <v>346</v>
      </c>
      <c r="F74" s="30" t="s">
        <v>344</v>
      </c>
      <c r="G74" s="30" t="s">
        <v>387</v>
      </c>
      <c r="H74" s="30">
        <v>699675</v>
      </c>
      <c r="I74" s="30"/>
      <c r="J74" s="30" t="s">
        <v>181</v>
      </c>
      <c r="K74" s="216">
        <v>130</v>
      </c>
      <c r="L74" s="143">
        <v>23.818999999999999</v>
      </c>
      <c r="M74" s="216">
        <f>K74-(L74+L75+L76)</f>
        <v>60.442999999999998</v>
      </c>
      <c r="N74" s="217">
        <f>(L74+L75+L76)/K74</f>
        <v>0.53505384615384621</v>
      </c>
    </row>
    <row r="75" spans="1:14" ht="15" hidden="1" customHeight="1">
      <c r="A75" s="30" t="s">
        <v>385</v>
      </c>
      <c r="B75" s="30" t="s">
        <v>390</v>
      </c>
      <c r="C75" s="73">
        <v>45338</v>
      </c>
      <c r="D75" s="30">
        <v>427</v>
      </c>
      <c r="E75" s="30" t="s">
        <v>346</v>
      </c>
      <c r="F75" s="30" t="s">
        <v>344</v>
      </c>
      <c r="G75" s="30" t="s">
        <v>388</v>
      </c>
      <c r="H75" s="30">
        <v>965911</v>
      </c>
      <c r="I75" s="30"/>
      <c r="J75" s="30" t="s">
        <v>181</v>
      </c>
      <c r="K75" s="216"/>
      <c r="L75" s="143"/>
      <c r="M75" s="216"/>
      <c r="N75" s="217"/>
    </row>
    <row r="76" spans="1:14" ht="15" hidden="1" customHeight="1">
      <c r="A76" s="30" t="s">
        <v>385</v>
      </c>
      <c r="B76" s="30" t="s">
        <v>390</v>
      </c>
      <c r="C76" s="73">
        <v>45338</v>
      </c>
      <c r="D76" s="30">
        <v>427</v>
      </c>
      <c r="E76" s="30" t="s">
        <v>346</v>
      </c>
      <c r="F76" s="30" t="s">
        <v>344</v>
      </c>
      <c r="G76" s="30" t="s">
        <v>389</v>
      </c>
      <c r="H76" s="30">
        <v>966304</v>
      </c>
      <c r="I76" s="30"/>
      <c r="J76" s="30" t="s">
        <v>181</v>
      </c>
      <c r="K76" s="216"/>
      <c r="L76" s="143">
        <v>45.738</v>
      </c>
      <c r="M76" s="216"/>
      <c r="N76" s="217"/>
    </row>
    <row r="77" spans="1:14" ht="15" hidden="1" customHeight="1">
      <c r="A77" s="30" t="s">
        <v>385</v>
      </c>
      <c r="B77" s="30" t="s">
        <v>390</v>
      </c>
      <c r="C77" s="73">
        <v>45338</v>
      </c>
      <c r="D77" s="30">
        <v>427</v>
      </c>
      <c r="E77" s="30" t="s">
        <v>346</v>
      </c>
      <c r="F77" s="30" t="s">
        <v>344</v>
      </c>
      <c r="G77" s="30" t="s">
        <v>387</v>
      </c>
      <c r="H77" s="30">
        <v>699675</v>
      </c>
      <c r="I77" s="30"/>
      <c r="J77" s="30" t="s">
        <v>182</v>
      </c>
      <c r="K77" s="216">
        <v>250</v>
      </c>
      <c r="L77" s="143">
        <v>36.082000000000001</v>
      </c>
      <c r="M77" s="216">
        <f>K77-(L77+L78+L79)</f>
        <v>74.635999999999996</v>
      </c>
      <c r="N77" s="217">
        <f>(L77+L78+L79)/K77</f>
        <v>0.70145599999999997</v>
      </c>
    </row>
    <row r="78" spans="1:14" ht="15" hidden="1" customHeight="1">
      <c r="A78" s="30" t="s">
        <v>385</v>
      </c>
      <c r="B78" s="30" t="s">
        <v>390</v>
      </c>
      <c r="C78" s="73">
        <v>45338</v>
      </c>
      <c r="D78" s="30">
        <v>427</v>
      </c>
      <c r="E78" s="30" t="s">
        <v>346</v>
      </c>
      <c r="F78" s="30" t="s">
        <v>344</v>
      </c>
      <c r="G78" s="30" t="s">
        <v>388</v>
      </c>
      <c r="H78" s="30">
        <v>965911</v>
      </c>
      <c r="I78" s="30"/>
      <c r="J78" s="30" t="s">
        <v>182</v>
      </c>
      <c r="K78" s="216"/>
      <c r="L78" s="143"/>
      <c r="M78" s="216"/>
      <c r="N78" s="217"/>
    </row>
    <row r="79" spans="1:14" ht="15" hidden="1" customHeight="1">
      <c r="A79" s="30" t="s">
        <v>385</v>
      </c>
      <c r="B79" s="30" t="s">
        <v>390</v>
      </c>
      <c r="C79" s="73">
        <v>45338</v>
      </c>
      <c r="D79" s="30">
        <v>427</v>
      </c>
      <c r="E79" s="30" t="s">
        <v>346</v>
      </c>
      <c r="F79" s="30" t="s">
        <v>344</v>
      </c>
      <c r="G79" s="30" t="s">
        <v>389</v>
      </c>
      <c r="H79" s="30">
        <v>966304</v>
      </c>
      <c r="I79" s="30"/>
      <c r="J79" s="30" t="s">
        <v>182</v>
      </c>
      <c r="K79" s="216"/>
      <c r="L79" s="143">
        <v>139.28200000000001</v>
      </c>
      <c r="M79" s="216"/>
      <c r="N79" s="217"/>
    </row>
    <row r="80" spans="1:14" ht="15" hidden="1" customHeight="1">
      <c r="A80" s="30" t="s">
        <v>391</v>
      </c>
      <c r="B80" s="30" t="s">
        <v>390</v>
      </c>
      <c r="C80" s="73">
        <v>45338</v>
      </c>
      <c r="D80" s="30">
        <v>428</v>
      </c>
      <c r="E80" s="30" t="s">
        <v>346</v>
      </c>
      <c r="F80" s="30" t="s">
        <v>344</v>
      </c>
      <c r="G80" s="30" t="s">
        <v>392</v>
      </c>
      <c r="H80" s="30">
        <v>960094</v>
      </c>
      <c r="I80" s="30"/>
      <c r="J80" s="30" t="s">
        <v>181</v>
      </c>
      <c r="K80" s="216">
        <v>197</v>
      </c>
      <c r="L80" s="143"/>
      <c r="M80" s="216">
        <f>K80-(L80+L81)</f>
        <v>197</v>
      </c>
      <c r="N80" s="217">
        <f>(L80+L81)/K80</f>
        <v>0</v>
      </c>
    </row>
    <row r="81" spans="1:14" ht="15" hidden="1" customHeight="1">
      <c r="A81" s="30" t="s">
        <v>391</v>
      </c>
      <c r="B81" s="30" t="s">
        <v>390</v>
      </c>
      <c r="C81" s="73">
        <v>45338</v>
      </c>
      <c r="D81" s="154">
        <v>428</v>
      </c>
      <c r="E81" s="30" t="s">
        <v>346</v>
      </c>
      <c r="F81" s="30" t="s">
        <v>344</v>
      </c>
      <c r="G81" s="30" t="s">
        <v>393</v>
      </c>
      <c r="H81" s="30">
        <v>923977</v>
      </c>
      <c r="I81" s="30"/>
      <c r="J81" s="30" t="s">
        <v>181</v>
      </c>
      <c r="K81" s="216"/>
      <c r="L81" s="143"/>
      <c r="M81" s="216"/>
      <c r="N81" s="217"/>
    </row>
    <row r="82" spans="1:14" ht="15" hidden="1" customHeight="1">
      <c r="A82" s="30" t="s">
        <v>391</v>
      </c>
      <c r="B82" s="30" t="s">
        <v>390</v>
      </c>
      <c r="C82" s="73">
        <v>45338</v>
      </c>
      <c r="D82" s="154">
        <v>428</v>
      </c>
      <c r="E82" s="30" t="s">
        <v>346</v>
      </c>
      <c r="F82" s="30" t="s">
        <v>344</v>
      </c>
      <c r="G82" s="30" t="s">
        <v>392</v>
      </c>
      <c r="H82" s="30">
        <v>960094</v>
      </c>
      <c r="I82" s="30"/>
      <c r="J82" s="30" t="s">
        <v>182</v>
      </c>
      <c r="K82" s="216">
        <v>215</v>
      </c>
      <c r="L82" s="143"/>
      <c r="M82" s="216">
        <f>K82-(L82+L83)</f>
        <v>215</v>
      </c>
      <c r="N82" s="217">
        <f>(L82+L83)/K82</f>
        <v>0</v>
      </c>
    </row>
    <row r="83" spans="1:14" ht="15" hidden="1" customHeight="1">
      <c r="A83" s="30" t="s">
        <v>391</v>
      </c>
      <c r="B83" s="30" t="s">
        <v>390</v>
      </c>
      <c r="C83" s="73">
        <v>45338</v>
      </c>
      <c r="D83" s="154">
        <v>428</v>
      </c>
      <c r="E83" s="30" t="s">
        <v>346</v>
      </c>
      <c r="F83" s="30" t="s">
        <v>344</v>
      </c>
      <c r="G83" s="30" t="s">
        <v>393</v>
      </c>
      <c r="H83" s="30">
        <v>923977</v>
      </c>
      <c r="I83" s="30"/>
      <c r="J83" s="30" t="s">
        <v>182</v>
      </c>
      <c r="K83" s="216"/>
      <c r="L83" s="143"/>
      <c r="M83" s="216"/>
      <c r="N83" s="217"/>
    </row>
    <row r="84" spans="1:14" ht="15" hidden="1" customHeight="1">
      <c r="A84" s="30" t="s">
        <v>391</v>
      </c>
      <c r="B84" s="30" t="s">
        <v>390</v>
      </c>
      <c r="C84" s="73">
        <v>45338</v>
      </c>
      <c r="D84" s="154">
        <v>428</v>
      </c>
      <c r="E84" s="30" t="s">
        <v>346</v>
      </c>
      <c r="F84" s="30" t="s">
        <v>344</v>
      </c>
      <c r="G84" s="30" t="s">
        <v>394</v>
      </c>
      <c r="H84" s="30">
        <v>700574</v>
      </c>
      <c r="I84" s="30"/>
      <c r="J84" s="30" t="s">
        <v>181</v>
      </c>
      <c r="K84" s="216">
        <v>277</v>
      </c>
      <c r="L84" s="143"/>
      <c r="M84" s="216">
        <f>K84-(L84+L85+L86)</f>
        <v>277</v>
      </c>
      <c r="N84" s="217">
        <f>(L84+L85+L86)/K84</f>
        <v>0</v>
      </c>
    </row>
    <row r="85" spans="1:14" ht="15" hidden="1" customHeight="1">
      <c r="A85" s="30" t="s">
        <v>391</v>
      </c>
      <c r="B85" s="30" t="s">
        <v>390</v>
      </c>
      <c r="C85" s="73">
        <v>45338</v>
      </c>
      <c r="D85" s="154">
        <v>428</v>
      </c>
      <c r="E85" s="30" t="s">
        <v>346</v>
      </c>
      <c r="F85" s="30" t="s">
        <v>344</v>
      </c>
      <c r="G85" s="30" t="s">
        <v>395</v>
      </c>
      <c r="H85" s="30">
        <v>699313</v>
      </c>
      <c r="I85" s="30"/>
      <c r="J85" s="30" t="s">
        <v>181</v>
      </c>
      <c r="K85" s="216"/>
      <c r="L85" s="143"/>
      <c r="M85" s="216"/>
      <c r="N85" s="217"/>
    </row>
    <row r="86" spans="1:14" ht="15" hidden="1" customHeight="1">
      <c r="A86" s="30" t="s">
        <v>391</v>
      </c>
      <c r="B86" s="30" t="s">
        <v>390</v>
      </c>
      <c r="C86" s="73">
        <v>45338</v>
      </c>
      <c r="D86" s="154">
        <v>428</v>
      </c>
      <c r="E86" s="30" t="s">
        <v>346</v>
      </c>
      <c r="F86" s="30" t="s">
        <v>344</v>
      </c>
      <c r="G86" s="30" t="s">
        <v>396</v>
      </c>
      <c r="H86" s="30">
        <v>700335</v>
      </c>
      <c r="I86" s="30"/>
      <c r="J86" s="30" t="s">
        <v>181</v>
      </c>
      <c r="K86" s="216"/>
      <c r="L86" s="143"/>
      <c r="M86" s="216"/>
      <c r="N86" s="217"/>
    </row>
    <row r="87" spans="1:14" ht="15" hidden="1" customHeight="1">
      <c r="A87" s="30" t="s">
        <v>391</v>
      </c>
      <c r="B87" s="30" t="s">
        <v>390</v>
      </c>
      <c r="C87" s="73">
        <v>45338</v>
      </c>
      <c r="D87" s="154">
        <v>428</v>
      </c>
      <c r="E87" s="30" t="s">
        <v>346</v>
      </c>
      <c r="F87" s="30" t="s">
        <v>344</v>
      </c>
      <c r="G87" s="30" t="s">
        <v>394</v>
      </c>
      <c r="H87" s="30">
        <v>700574</v>
      </c>
      <c r="I87" s="30"/>
      <c r="J87" s="30" t="s">
        <v>182</v>
      </c>
      <c r="K87" s="216">
        <v>154</v>
      </c>
      <c r="L87" s="143"/>
      <c r="M87" s="216">
        <f>K87-(L87+L88+L89)</f>
        <v>154</v>
      </c>
      <c r="N87" s="217">
        <f>(L87+L88+L89)/K87</f>
        <v>0</v>
      </c>
    </row>
    <row r="88" spans="1:14" ht="15" hidden="1" customHeight="1">
      <c r="A88" s="30" t="s">
        <v>391</v>
      </c>
      <c r="B88" s="30" t="s">
        <v>390</v>
      </c>
      <c r="C88" s="73">
        <v>45338</v>
      </c>
      <c r="D88" s="154">
        <v>428</v>
      </c>
      <c r="E88" s="30" t="s">
        <v>346</v>
      </c>
      <c r="F88" s="30" t="s">
        <v>344</v>
      </c>
      <c r="G88" s="30" t="s">
        <v>395</v>
      </c>
      <c r="H88" s="30">
        <v>699313</v>
      </c>
      <c r="I88" s="30"/>
      <c r="J88" s="30" t="s">
        <v>182</v>
      </c>
      <c r="K88" s="216"/>
      <c r="L88" s="143"/>
      <c r="M88" s="216"/>
      <c r="N88" s="217"/>
    </row>
    <row r="89" spans="1:14" ht="15" hidden="1" customHeight="1">
      <c r="A89" s="30" t="s">
        <v>391</v>
      </c>
      <c r="B89" s="30" t="s">
        <v>390</v>
      </c>
      <c r="C89" s="73">
        <v>45338</v>
      </c>
      <c r="D89" s="154">
        <v>428</v>
      </c>
      <c r="E89" s="30" t="s">
        <v>346</v>
      </c>
      <c r="F89" s="30" t="s">
        <v>344</v>
      </c>
      <c r="G89" s="30" t="s">
        <v>396</v>
      </c>
      <c r="H89" s="30">
        <v>700335</v>
      </c>
      <c r="I89" s="30"/>
      <c r="J89" s="30" t="s">
        <v>182</v>
      </c>
      <c r="K89" s="216"/>
      <c r="L89" s="143"/>
      <c r="M89" s="216"/>
      <c r="N89" s="217"/>
    </row>
    <row r="90" spans="1:14" ht="15" hidden="1" customHeight="1">
      <c r="A90" s="30" t="s">
        <v>391</v>
      </c>
      <c r="B90" s="30" t="s">
        <v>390</v>
      </c>
      <c r="C90" s="73">
        <v>45338</v>
      </c>
      <c r="D90" s="154">
        <v>428</v>
      </c>
      <c r="E90" s="30" t="s">
        <v>346</v>
      </c>
      <c r="F90" s="30" t="s">
        <v>344</v>
      </c>
      <c r="G90" s="30" t="s">
        <v>397</v>
      </c>
      <c r="H90" s="30">
        <v>698731</v>
      </c>
      <c r="I90" s="30"/>
      <c r="J90" s="30" t="s">
        <v>181</v>
      </c>
      <c r="K90" s="216">
        <v>1097.9000000000001</v>
      </c>
      <c r="L90" s="143"/>
      <c r="M90" s="216">
        <f>K90-(L90+L91+L92+L93)</f>
        <v>1097.9000000000001</v>
      </c>
      <c r="N90" s="217">
        <f>(L90+L91+L92+L93)/K90</f>
        <v>0</v>
      </c>
    </row>
    <row r="91" spans="1:14" ht="15" hidden="1" customHeight="1">
      <c r="A91" s="30" t="s">
        <v>391</v>
      </c>
      <c r="B91" s="30" t="s">
        <v>390</v>
      </c>
      <c r="C91" s="73">
        <v>45338</v>
      </c>
      <c r="D91" s="154">
        <v>428</v>
      </c>
      <c r="E91" s="30" t="s">
        <v>346</v>
      </c>
      <c r="F91" s="30" t="s">
        <v>344</v>
      </c>
      <c r="G91" s="30" t="s">
        <v>398</v>
      </c>
      <c r="H91" s="30">
        <v>699073</v>
      </c>
      <c r="I91" s="30"/>
      <c r="J91" s="30" t="s">
        <v>181</v>
      </c>
      <c r="K91" s="216"/>
      <c r="L91" s="143"/>
      <c r="M91" s="216"/>
      <c r="N91" s="217"/>
    </row>
    <row r="92" spans="1:14" ht="15" hidden="1" customHeight="1">
      <c r="A92" s="30" t="s">
        <v>391</v>
      </c>
      <c r="B92" s="30" t="s">
        <v>390</v>
      </c>
      <c r="C92" s="73">
        <v>45338</v>
      </c>
      <c r="D92" s="154">
        <v>428</v>
      </c>
      <c r="E92" s="30" t="s">
        <v>346</v>
      </c>
      <c r="F92" s="30" t="s">
        <v>344</v>
      </c>
      <c r="G92" s="30" t="s">
        <v>399</v>
      </c>
      <c r="H92" s="30">
        <v>962102</v>
      </c>
      <c r="I92" s="30"/>
      <c r="J92" s="30" t="s">
        <v>181</v>
      </c>
      <c r="K92" s="216"/>
      <c r="L92" s="143"/>
      <c r="M92" s="216"/>
      <c r="N92" s="217"/>
    </row>
    <row r="93" spans="1:14" ht="15" hidden="1" customHeight="1">
      <c r="A93" s="30" t="s">
        <v>391</v>
      </c>
      <c r="B93" s="30" t="s">
        <v>390</v>
      </c>
      <c r="C93" s="73">
        <v>45338</v>
      </c>
      <c r="D93" s="154">
        <v>428</v>
      </c>
      <c r="E93" s="30" t="s">
        <v>346</v>
      </c>
      <c r="F93" s="30" t="s">
        <v>344</v>
      </c>
      <c r="G93" s="30" t="s">
        <v>400</v>
      </c>
      <c r="H93" s="30">
        <v>700153</v>
      </c>
      <c r="I93" s="30"/>
      <c r="J93" s="30" t="s">
        <v>181</v>
      </c>
      <c r="K93" s="216"/>
      <c r="L93" s="143"/>
      <c r="M93" s="216"/>
      <c r="N93" s="217"/>
    </row>
    <row r="94" spans="1:14" ht="15" hidden="1" customHeight="1">
      <c r="A94" s="30" t="s">
        <v>391</v>
      </c>
      <c r="B94" s="30" t="s">
        <v>390</v>
      </c>
      <c r="C94" s="73">
        <v>45338</v>
      </c>
      <c r="D94" s="154">
        <v>428</v>
      </c>
      <c r="E94" s="30" t="s">
        <v>346</v>
      </c>
      <c r="F94" s="30" t="s">
        <v>344</v>
      </c>
      <c r="G94" s="30" t="s">
        <v>397</v>
      </c>
      <c r="H94" s="30">
        <v>698731</v>
      </c>
      <c r="I94" s="30"/>
      <c r="J94" s="30" t="s">
        <v>182</v>
      </c>
      <c r="K94" s="216">
        <v>677.28</v>
      </c>
      <c r="L94" s="143"/>
      <c r="M94" s="216">
        <f>K94-(L94+L95+L96+L97)</f>
        <v>677.28</v>
      </c>
      <c r="N94" s="217">
        <f>(L94+L95+L96+L97)/K94</f>
        <v>0</v>
      </c>
    </row>
    <row r="95" spans="1:14" ht="15" hidden="1" customHeight="1">
      <c r="A95" s="30" t="s">
        <v>391</v>
      </c>
      <c r="B95" s="30" t="s">
        <v>390</v>
      </c>
      <c r="C95" s="73">
        <v>45338</v>
      </c>
      <c r="D95" s="154">
        <v>428</v>
      </c>
      <c r="E95" s="30" t="s">
        <v>346</v>
      </c>
      <c r="F95" s="30" t="s">
        <v>344</v>
      </c>
      <c r="G95" s="30" t="s">
        <v>398</v>
      </c>
      <c r="H95" s="30">
        <v>699073</v>
      </c>
      <c r="I95" s="30"/>
      <c r="J95" s="30" t="s">
        <v>182</v>
      </c>
      <c r="K95" s="216"/>
      <c r="L95" s="143"/>
      <c r="M95" s="216"/>
      <c r="N95" s="217"/>
    </row>
    <row r="96" spans="1:14" ht="15" hidden="1" customHeight="1">
      <c r="A96" s="30" t="s">
        <v>391</v>
      </c>
      <c r="B96" s="30" t="s">
        <v>390</v>
      </c>
      <c r="C96" s="73">
        <v>45338</v>
      </c>
      <c r="D96" s="154">
        <v>428</v>
      </c>
      <c r="E96" s="30" t="s">
        <v>346</v>
      </c>
      <c r="F96" s="30" t="s">
        <v>344</v>
      </c>
      <c r="G96" s="30" t="s">
        <v>399</v>
      </c>
      <c r="H96" s="30">
        <v>962102</v>
      </c>
      <c r="I96" s="30"/>
      <c r="J96" s="30" t="s">
        <v>182</v>
      </c>
      <c r="K96" s="216"/>
      <c r="L96" s="143"/>
      <c r="M96" s="216"/>
      <c r="N96" s="217"/>
    </row>
    <row r="97" spans="1:14" ht="15" hidden="1" customHeight="1">
      <c r="A97" s="30" t="s">
        <v>391</v>
      </c>
      <c r="B97" s="30" t="s">
        <v>390</v>
      </c>
      <c r="C97" s="73">
        <v>45338</v>
      </c>
      <c r="D97" s="154">
        <v>428</v>
      </c>
      <c r="E97" s="30" t="s">
        <v>346</v>
      </c>
      <c r="F97" s="30" t="s">
        <v>344</v>
      </c>
      <c r="G97" s="30" t="s">
        <v>400</v>
      </c>
      <c r="H97" s="30">
        <v>700153</v>
      </c>
      <c r="I97" s="30"/>
      <c r="J97" s="30" t="s">
        <v>182</v>
      </c>
      <c r="K97" s="216"/>
      <c r="L97" s="143"/>
      <c r="M97" s="216"/>
      <c r="N97" s="217"/>
    </row>
    <row r="98" spans="1:14" ht="15" hidden="1" customHeight="1">
      <c r="A98" s="30" t="s">
        <v>391</v>
      </c>
      <c r="B98" s="30" t="s">
        <v>390</v>
      </c>
      <c r="C98" s="73">
        <v>45338</v>
      </c>
      <c r="D98" s="154">
        <v>428</v>
      </c>
      <c r="E98" s="30" t="s">
        <v>346</v>
      </c>
      <c r="F98" s="30" t="s">
        <v>344</v>
      </c>
      <c r="G98" s="30" t="s">
        <v>401</v>
      </c>
      <c r="H98" s="30">
        <v>31015</v>
      </c>
      <c r="I98" s="30"/>
      <c r="J98" s="30" t="s">
        <v>181</v>
      </c>
      <c r="K98" s="216">
        <v>712</v>
      </c>
      <c r="L98" s="143"/>
      <c r="M98" s="216">
        <f>K98-(L98+L99+L100+L101)</f>
        <v>712</v>
      </c>
      <c r="N98" s="217">
        <f>(L98+L99+L100+L101)/K98</f>
        <v>0</v>
      </c>
    </row>
    <row r="99" spans="1:14" ht="15" hidden="1" customHeight="1">
      <c r="A99" s="30" t="s">
        <v>391</v>
      </c>
      <c r="B99" s="30" t="s">
        <v>390</v>
      </c>
      <c r="C99" s="73">
        <v>45338</v>
      </c>
      <c r="D99" s="154">
        <v>428</v>
      </c>
      <c r="E99" s="30" t="s">
        <v>346</v>
      </c>
      <c r="F99" s="30" t="s">
        <v>344</v>
      </c>
      <c r="G99" s="30" t="s">
        <v>402</v>
      </c>
      <c r="H99" s="30">
        <v>968938</v>
      </c>
      <c r="I99" s="30"/>
      <c r="J99" s="30" t="s">
        <v>181</v>
      </c>
      <c r="K99" s="216"/>
      <c r="L99" s="143"/>
      <c r="M99" s="216"/>
      <c r="N99" s="217"/>
    </row>
    <row r="100" spans="1:14" ht="15" hidden="1" customHeight="1">
      <c r="A100" s="30" t="s">
        <v>391</v>
      </c>
      <c r="B100" s="30" t="s">
        <v>390</v>
      </c>
      <c r="C100" s="73">
        <v>45338</v>
      </c>
      <c r="D100" s="154">
        <v>428</v>
      </c>
      <c r="E100" s="30" t="s">
        <v>346</v>
      </c>
      <c r="F100" s="30" t="s">
        <v>344</v>
      </c>
      <c r="G100" s="30" t="s">
        <v>403</v>
      </c>
      <c r="H100" s="30">
        <v>966410</v>
      </c>
      <c r="I100" s="30"/>
      <c r="J100" s="30" t="s">
        <v>181</v>
      </c>
      <c r="K100" s="216"/>
      <c r="L100" s="143"/>
      <c r="M100" s="216"/>
      <c r="N100" s="217"/>
    </row>
    <row r="101" spans="1:14" ht="15" hidden="1" customHeight="1">
      <c r="A101" s="30" t="s">
        <v>391</v>
      </c>
      <c r="B101" s="30" t="s">
        <v>390</v>
      </c>
      <c r="C101" s="73">
        <v>45338</v>
      </c>
      <c r="D101" s="154">
        <v>428</v>
      </c>
      <c r="E101" s="30" t="s">
        <v>346</v>
      </c>
      <c r="F101" s="30" t="s">
        <v>344</v>
      </c>
      <c r="G101" s="30" t="s">
        <v>404</v>
      </c>
      <c r="H101" s="30">
        <v>700254</v>
      </c>
      <c r="I101" s="30"/>
      <c r="J101" s="30" t="s">
        <v>181</v>
      </c>
      <c r="K101" s="216"/>
      <c r="L101" s="143"/>
      <c r="M101" s="216"/>
      <c r="N101" s="217"/>
    </row>
    <row r="102" spans="1:14" ht="15" hidden="1" customHeight="1">
      <c r="A102" s="30" t="s">
        <v>391</v>
      </c>
      <c r="B102" s="30" t="s">
        <v>390</v>
      </c>
      <c r="C102" s="73">
        <v>45338</v>
      </c>
      <c r="D102" s="154">
        <v>428</v>
      </c>
      <c r="E102" s="30" t="s">
        <v>346</v>
      </c>
      <c r="F102" s="30" t="s">
        <v>344</v>
      </c>
      <c r="G102" s="30" t="s">
        <v>401</v>
      </c>
      <c r="H102" s="30">
        <v>31015</v>
      </c>
      <c r="I102" s="30"/>
      <c r="J102" s="30" t="s">
        <v>182</v>
      </c>
      <c r="K102" s="216">
        <v>564</v>
      </c>
      <c r="L102" s="143"/>
      <c r="M102" s="216">
        <f>K102-(L102+L103+L104+L105)</f>
        <v>564</v>
      </c>
      <c r="N102" s="217">
        <f>(L102+L103+L104+L105)/K102</f>
        <v>0</v>
      </c>
    </row>
    <row r="103" spans="1:14" ht="15" hidden="1" customHeight="1">
      <c r="A103" s="30" t="s">
        <v>391</v>
      </c>
      <c r="B103" s="30" t="s">
        <v>390</v>
      </c>
      <c r="C103" s="73">
        <v>45338</v>
      </c>
      <c r="D103" s="154">
        <v>428</v>
      </c>
      <c r="E103" s="30" t="s">
        <v>346</v>
      </c>
      <c r="F103" s="30" t="s">
        <v>344</v>
      </c>
      <c r="G103" s="30" t="s">
        <v>402</v>
      </c>
      <c r="H103" s="30">
        <v>968938</v>
      </c>
      <c r="I103" s="30"/>
      <c r="J103" s="30" t="s">
        <v>182</v>
      </c>
      <c r="K103" s="216"/>
      <c r="L103" s="143"/>
      <c r="M103" s="216"/>
      <c r="N103" s="217"/>
    </row>
    <row r="104" spans="1:14" ht="15" hidden="1" customHeight="1">
      <c r="A104" s="30" t="s">
        <v>391</v>
      </c>
      <c r="B104" s="30" t="s">
        <v>390</v>
      </c>
      <c r="C104" s="73">
        <v>45338</v>
      </c>
      <c r="D104" s="154">
        <v>428</v>
      </c>
      <c r="E104" s="30" t="s">
        <v>346</v>
      </c>
      <c r="F104" s="30" t="s">
        <v>344</v>
      </c>
      <c r="G104" s="30" t="s">
        <v>403</v>
      </c>
      <c r="H104" s="30">
        <v>966410</v>
      </c>
      <c r="I104" s="30"/>
      <c r="J104" s="30" t="s">
        <v>182</v>
      </c>
      <c r="K104" s="216"/>
      <c r="L104" s="143"/>
      <c r="M104" s="216"/>
      <c r="N104" s="217"/>
    </row>
    <row r="105" spans="1:14" ht="15" hidden="1" customHeight="1">
      <c r="A105" s="30" t="s">
        <v>391</v>
      </c>
      <c r="B105" s="30" t="s">
        <v>390</v>
      </c>
      <c r="C105" s="73">
        <v>45338</v>
      </c>
      <c r="D105" s="154">
        <v>428</v>
      </c>
      <c r="E105" s="30" t="s">
        <v>346</v>
      </c>
      <c r="F105" s="30" t="s">
        <v>344</v>
      </c>
      <c r="G105" s="30" t="s">
        <v>404</v>
      </c>
      <c r="H105" s="30">
        <v>700254</v>
      </c>
      <c r="I105" s="30"/>
      <c r="J105" s="30" t="s">
        <v>182</v>
      </c>
      <c r="K105" s="216"/>
      <c r="L105" s="143"/>
      <c r="M105" s="216"/>
      <c r="N105" s="217"/>
    </row>
    <row r="106" spans="1:14" ht="15" hidden="1" customHeight="1">
      <c r="A106" s="30" t="s">
        <v>405</v>
      </c>
      <c r="B106" s="30" t="s">
        <v>345</v>
      </c>
      <c r="C106" s="73">
        <v>45342</v>
      </c>
      <c r="D106" s="30">
        <v>455</v>
      </c>
      <c r="E106" s="30" t="s">
        <v>346</v>
      </c>
      <c r="F106" s="30" t="s">
        <v>377</v>
      </c>
      <c r="G106" s="30" t="s">
        <v>384</v>
      </c>
      <c r="H106" s="30">
        <v>700014</v>
      </c>
      <c r="I106" s="30"/>
      <c r="J106" s="30" t="s">
        <v>181</v>
      </c>
      <c r="K106" s="64">
        <v>518.57000000000005</v>
      </c>
      <c r="L106" s="143">
        <v>780.90499999999997</v>
      </c>
      <c r="M106" s="64">
        <f t="shared" ref="M106:M119" si="6">K106-L106</f>
        <v>-262.33499999999992</v>
      </c>
      <c r="N106" s="54">
        <f t="shared" ref="N106:N119" si="7">L106/K106</f>
        <v>1.505881558902366</v>
      </c>
    </row>
    <row r="107" spans="1:14" ht="15" hidden="1" customHeight="1">
      <c r="A107" s="30" t="s">
        <v>405</v>
      </c>
      <c r="B107" s="30" t="s">
        <v>345</v>
      </c>
      <c r="C107" s="73">
        <v>45342</v>
      </c>
      <c r="D107" s="30">
        <v>455</v>
      </c>
      <c r="E107" s="30" t="s">
        <v>346</v>
      </c>
      <c r="F107" s="30" t="s">
        <v>377</v>
      </c>
      <c r="G107" s="30" t="s">
        <v>384</v>
      </c>
      <c r="H107" s="30">
        <v>700014</v>
      </c>
      <c r="I107" s="30"/>
      <c r="J107" s="30" t="s">
        <v>182</v>
      </c>
      <c r="K107" s="64">
        <v>869.26599999999996</v>
      </c>
      <c r="L107" s="143">
        <v>601.52</v>
      </c>
      <c r="M107" s="64">
        <f t="shared" si="6"/>
        <v>267.74599999999998</v>
      </c>
      <c r="N107" s="54">
        <f t="shared" si="7"/>
        <v>0.69198611242128416</v>
      </c>
    </row>
    <row r="108" spans="1:14" ht="15" hidden="1" customHeight="1">
      <c r="A108" s="30" t="s">
        <v>406</v>
      </c>
      <c r="B108" s="30" t="s">
        <v>345</v>
      </c>
      <c r="C108" s="73">
        <v>45328</v>
      </c>
      <c r="D108" s="30">
        <v>294</v>
      </c>
      <c r="E108" s="30" t="s">
        <v>408</v>
      </c>
      <c r="F108" s="30" t="s">
        <v>377</v>
      </c>
      <c r="G108" s="30" t="s">
        <v>409</v>
      </c>
      <c r="H108" s="30">
        <v>700493</v>
      </c>
      <c r="I108" s="30"/>
      <c r="J108" s="30" t="s">
        <v>181</v>
      </c>
      <c r="K108" s="64">
        <v>100</v>
      </c>
      <c r="L108" s="143">
        <v>117.744</v>
      </c>
      <c r="M108" s="64">
        <f t="shared" si="6"/>
        <v>-17.744</v>
      </c>
      <c r="N108" s="54">
        <f t="shared" si="7"/>
        <v>1.17744</v>
      </c>
    </row>
    <row r="109" spans="1:14" ht="15" hidden="1" customHeight="1">
      <c r="A109" s="30" t="s">
        <v>406</v>
      </c>
      <c r="B109" s="30" t="s">
        <v>345</v>
      </c>
      <c r="C109" s="73">
        <v>45328</v>
      </c>
      <c r="D109" s="30">
        <v>294</v>
      </c>
      <c r="E109" s="30" t="s">
        <v>408</v>
      </c>
      <c r="F109" s="30" t="s">
        <v>377</v>
      </c>
      <c r="G109" s="30" t="s">
        <v>409</v>
      </c>
      <c r="H109" s="30">
        <v>700493</v>
      </c>
      <c r="I109" s="30"/>
      <c r="J109" s="30" t="s">
        <v>182</v>
      </c>
      <c r="K109" s="64">
        <v>150</v>
      </c>
      <c r="L109" s="143">
        <v>126.176</v>
      </c>
      <c r="M109" s="64">
        <f t="shared" si="6"/>
        <v>23.823999999999998</v>
      </c>
      <c r="N109" s="54">
        <f t="shared" si="7"/>
        <v>0.84117333333333333</v>
      </c>
    </row>
    <row r="110" spans="1:14" ht="15" hidden="1" customHeight="1">
      <c r="A110" s="30" t="s">
        <v>410</v>
      </c>
      <c r="B110" s="30" t="s">
        <v>345</v>
      </c>
      <c r="C110" s="73">
        <v>45328</v>
      </c>
      <c r="D110" s="30">
        <v>297</v>
      </c>
      <c r="E110" s="30" t="s">
        <v>408</v>
      </c>
      <c r="F110" s="30" t="s">
        <v>377</v>
      </c>
      <c r="G110" s="30" t="s">
        <v>411</v>
      </c>
      <c r="H110" s="30">
        <v>701672</v>
      </c>
      <c r="I110" s="30"/>
      <c r="J110" s="30" t="s">
        <v>181</v>
      </c>
      <c r="K110" s="64">
        <v>200</v>
      </c>
      <c r="L110" s="143"/>
      <c r="M110" s="64">
        <f t="shared" si="6"/>
        <v>200</v>
      </c>
      <c r="N110" s="54">
        <f t="shared" si="7"/>
        <v>0</v>
      </c>
    </row>
    <row r="111" spans="1:14" ht="15" hidden="1" customHeight="1">
      <c r="A111" s="30" t="s">
        <v>410</v>
      </c>
      <c r="B111" s="30" t="s">
        <v>345</v>
      </c>
      <c r="C111" s="73">
        <v>45328</v>
      </c>
      <c r="D111" s="30">
        <v>297</v>
      </c>
      <c r="E111" s="30" t="s">
        <v>408</v>
      </c>
      <c r="F111" s="30" t="s">
        <v>377</v>
      </c>
      <c r="G111" s="30" t="s">
        <v>411</v>
      </c>
      <c r="H111" s="30">
        <v>701672</v>
      </c>
      <c r="I111" s="30"/>
      <c r="J111" s="30" t="s">
        <v>182</v>
      </c>
      <c r="K111" s="64">
        <v>600</v>
      </c>
      <c r="L111" s="143"/>
      <c r="M111" s="64">
        <f t="shared" si="6"/>
        <v>600</v>
      </c>
      <c r="N111" s="54">
        <f t="shared" si="7"/>
        <v>0</v>
      </c>
    </row>
    <row r="112" spans="1:14" ht="15" hidden="1" customHeight="1">
      <c r="A112" s="30" t="s">
        <v>412</v>
      </c>
      <c r="B112" s="30" t="s">
        <v>345</v>
      </c>
      <c r="C112" s="73">
        <v>45335</v>
      </c>
      <c r="D112" s="30">
        <v>374</v>
      </c>
      <c r="E112" s="30" t="s">
        <v>408</v>
      </c>
      <c r="F112" s="30" t="s">
        <v>377</v>
      </c>
      <c r="G112" s="30" t="s">
        <v>413</v>
      </c>
      <c r="H112" s="30">
        <v>958563</v>
      </c>
      <c r="I112" s="30"/>
      <c r="J112" s="30" t="s">
        <v>181</v>
      </c>
      <c r="K112" s="64">
        <v>100</v>
      </c>
      <c r="L112" s="143">
        <v>56.777999999999999</v>
      </c>
      <c r="M112" s="64">
        <f t="shared" si="6"/>
        <v>43.222000000000001</v>
      </c>
      <c r="N112" s="54">
        <f t="shared" si="7"/>
        <v>0.56777999999999995</v>
      </c>
    </row>
    <row r="113" spans="1:14" ht="15" hidden="1" customHeight="1">
      <c r="A113" s="30" t="s">
        <v>412</v>
      </c>
      <c r="B113" s="30" t="s">
        <v>345</v>
      </c>
      <c r="C113" s="73">
        <v>45335</v>
      </c>
      <c r="D113" s="30">
        <v>374</v>
      </c>
      <c r="E113" s="30" t="s">
        <v>408</v>
      </c>
      <c r="F113" s="30" t="s">
        <v>377</v>
      </c>
      <c r="G113" s="30" t="s">
        <v>413</v>
      </c>
      <c r="H113" s="30">
        <v>958563</v>
      </c>
      <c r="I113" s="30"/>
      <c r="J113" s="30" t="s">
        <v>182</v>
      </c>
      <c r="K113" s="64">
        <v>150</v>
      </c>
      <c r="L113" s="143">
        <v>193.22200000000001</v>
      </c>
      <c r="M113" s="64">
        <f t="shared" si="6"/>
        <v>-43.222000000000008</v>
      </c>
      <c r="N113" s="54">
        <f t="shared" si="7"/>
        <v>1.2881466666666668</v>
      </c>
    </row>
    <row r="114" spans="1:14" ht="15" hidden="1" customHeight="1">
      <c r="A114" s="30" t="s">
        <v>414</v>
      </c>
      <c r="B114" s="30" t="s">
        <v>345</v>
      </c>
      <c r="C114" s="73">
        <v>45336</v>
      </c>
      <c r="D114" s="30">
        <v>398</v>
      </c>
      <c r="E114" s="30" t="s">
        <v>408</v>
      </c>
      <c r="F114" s="30" t="s">
        <v>377</v>
      </c>
      <c r="G114" s="30" t="s">
        <v>379</v>
      </c>
      <c r="H114" s="30">
        <v>958905</v>
      </c>
      <c r="I114" s="30"/>
      <c r="J114" s="30" t="s">
        <v>181</v>
      </c>
      <c r="K114" s="64">
        <v>100</v>
      </c>
      <c r="L114" s="143">
        <v>79.415000000000006</v>
      </c>
      <c r="M114" s="64">
        <f t="shared" si="6"/>
        <v>20.584999999999994</v>
      </c>
      <c r="N114" s="54">
        <f t="shared" si="7"/>
        <v>0.79415000000000002</v>
      </c>
    </row>
    <row r="115" spans="1:14" ht="15" hidden="1" customHeight="1">
      <c r="A115" s="30" t="s">
        <v>414</v>
      </c>
      <c r="B115" s="30" t="s">
        <v>345</v>
      </c>
      <c r="C115" s="73">
        <v>45336</v>
      </c>
      <c r="D115" s="30">
        <v>398</v>
      </c>
      <c r="E115" s="30" t="s">
        <v>408</v>
      </c>
      <c r="F115" s="30" t="s">
        <v>377</v>
      </c>
      <c r="G115" s="30" t="s">
        <v>379</v>
      </c>
      <c r="H115" s="30">
        <v>958905</v>
      </c>
      <c r="I115" s="30"/>
      <c r="J115" s="30" t="s">
        <v>182</v>
      </c>
      <c r="K115" s="64">
        <v>175</v>
      </c>
      <c r="L115" s="143"/>
      <c r="M115" s="64">
        <f t="shared" si="6"/>
        <v>175</v>
      </c>
      <c r="N115" s="54">
        <f t="shared" si="7"/>
        <v>0</v>
      </c>
    </row>
    <row r="116" spans="1:14" ht="15" hidden="1" customHeight="1">
      <c r="A116" s="30" t="s">
        <v>415</v>
      </c>
      <c r="B116" s="30" t="s">
        <v>345</v>
      </c>
      <c r="C116" s="73">
        <v>45341</v>
      </c>
      <c r="D116" s="30">
        <v>440</v>
      </c>
      <c r="E116" s="30" t="s">
        <v>408</v>
      </c>
      <c r="F116" s="30" t="s">
        <v>377</v>
      </c>
      <c r="G116" s="30" t="s">
        <v>416</v>
      </c>
      <c r="H116" s="30">
        <v>701334</v>
      </c>
      <c r="I116" s="30"/>
      <c r="J116" s="30" t="s">
        <v>181</v>
      </c>
      <c r="K116" s="64">
        <v>66</v>
      </c>
      <c r="L116" s="143"/>
      <c r="M116" s="64">
        <f t="shared" si="6"/>
        <v>66</v>
      </c>
      <c r="N116" s="54">
        <f t="shared" si="7"/>
        <v>0</v>
      </c>
    </row>
    <row r="117" spans="1:14" ht="15" hidden="1" customHeight="1">
      <c r="A117" s="30" t="s">
        <v>415</v>
      </c>
      <c r="B117" s="30" t="s">
        <v>345</v>
      </c>
      <c r="C117" s="73">
        <v>45341</v>
      </c>
      <c r="D117" s="30">
        <v>440</v>
      </c>
      <c r="E117" s="30" t="s">
        <v>408</v>
      </c>
      <c r="F117" s="30" t="s">
        <v>377</v>
      </c>
      <c r="G117" s="30" t="s">
        <v>416</v>
      </c>
      <c r="H117" s="30">
        <v>701334</v>
      </c>
      <c r="I117" s="30"/>
      <c r="J117" s="30" t="s">
        <v>182</v>
      </c>
      <c r="K117" s="64">
        <v>284</v>
      </c>
      <c r="L117" s="143"/>
      <c r="M117" s="64">
        <f t="shared" si="6"/>
        <v>284</v>
      </c>
      <c r="N117" s="54">
        <f t="shared" si="7"/>
        <v>0</v>
      </c>
    </row>
    <row r="118" spans="1:14" ht="15" hidden="1" customHeight="1">
      <c r="A118" s="30" t="s">
        <v>417</v>
      </c>
      <c r="B118" s="30" t="s">
        <v>345</v>
      </c>
      <c r="C118" s="73">
        <v>45344</v>
      </c>
      <c r="D118" s="30">
        <v>481</v>
      </c>
      <c r="E118" s="30" t="s">
        <v>408</v>
      </c>
      <c r="F118" s="30" t="s">
        <v>377</v>
      </c>
      <c r="G118" s="30" t="s">
        <v>418</v>
      </c>
      <c r="H118" s="30">
        <v>700548</v>
      </c>
      <c r="I118" s="30"/>
      <c r="J118" s="30" t="s">
        <v>181</v>
      </c>
      <c r="K118" s="64">
        <v>2</v>
      </c>
      <c r="L118" s="143">
        <v>1.589</v>
      </c>
      <c r="M118" s="64">
        <f t="shared" si="6"/>
        <v>0.41100000000000003</v>
      </c>
      <c r="N118" s="54">
        <f t="shared" si="7"/>
        <v>0.79449999999999998</v>
      </c>
    </row>
    <row r="119" spans="1:14" ht="15" hidden="1" customHeight="1">
      <c r="A119" s="30" t="s">
        <v>417</v>
      </c>
      <c r="B119" s="30" t="s">
        <v>345</v>
      </c>
      <c r="C119" s="73">
        <v>45344</v>
      </c>
      <c r="D119" s="30">
        <v>481</v>
      </c>
      <c r="E119" s="30" t="s">
        <v>408</v>
      </c>
      <c r="F119" s="30" t="s">
        <v>377</v>
      </c>
      <c r="G119" s="30" t="s">
        <v>418</v>
      </c>
      <c r="H119" s="30">
        <v>700548</v>
      </c>
      <c r="I119" s="30"/>
      <c r="J119" s="30" t="s">
        <v>182</v>
      </c>
      <c r="K119" s="64">
        <v>18</v>
      </c>
      <c r="L119" s="143">
        <v>18.411000000000001</v>
      </c>
      <c r="M119" s="64">
        <f t="shared" si="6"/>
        <v>-0.41100000000000136</v>
      </c>
      <c r="N119" s="54">
        <f t="shared" si="7"/>
        <v>1.0228333333333335</v>
      </c>
    </row>
    <row r="120" spans="1:14" ht="15" hidden="1" customHeight="1">
      <c r="A120" s="30" t="s">
        <v>419</v>
      </c>
      <c r="B120" s="30" t="s">
        <v>390</v>
      </c>
      <c r="C120" s="73">
        <v>45348</v>
      </c>
      <c r="D120" s="30">
        <v>493</v>
      </c>
      <c r="E120" s="30" t="s">
        <v>346</v>
      </c>
      <c r="F120" s="30" t="s">
        <v>344</v>
      </c>
      <c r="G120" s="30" t="s">
        <v>379</v>
      </c>
      <c r="H120" s="30">
        <v>958905</v>
      </c>
      <c r="I120" s="30"/>
      <c r="J120" s="30" t="s">
        <v>181</v>
      </c>
      <c r="K120" s="216">
        <v>536.54999999999995</v>
      </c>
      <c r="L120" s="143">
        <v>128.60400000000001</v>
      </c>
      <c r="M120" s="216">
        <f>K120-(L120+L121)</f>
        <v>407.18999999999994</v>
      </c>
      <c r="N120" s="217">
        <f>(L120+L121)/K120</f>
        <v>0.24109589041095894</v>
      </c>
    </row>
    <row r="121" spans="1:14" ht="15" hidden="1" customHeight="1">
      <c r="A121" s="30" t="s">
        <v>419</v>
      </c>
      <c r="B121" s="30" t="s">
        <v>390</v>
      </c>
      <c r="C121" s="73">
        <v>45348</v>
      </c>
      <c r="D121" s="30">
        <v>493</v>
      </c>
      <c r="E121" s="30" t="s">
        <v>346</v>
      </c>
      <c r="F121" s="30" t="s">
        <v>344</v>
      </c>
      <c r="G121" s="30" t="s">
        <v>416</v>
      </c>
      <c r="H121" s="30">
        <v>701334</v>
      </c>
      <c r="I121" s="30"/>
      <c r="J121" s="30" t="s">
        <v>181</v>
      </c>
      <c r="K121" s="216"/>
      <c r="L121" s="143">
        <v>0.75600000000000001</v>
      </c>
      <c r="M121" s="216"/>
      <c r="N121" s="217"/>
    </row>
    <row r="122" spans="1:14" hidden="1">
      <c r="A122" s="30" t="s">
        <v>419</v>
      </c>
      <c r="B122" s="30" t="s">
        <v>390</v>
      </c>
      <c r="C122" s="73">
        <v>45348</v>
      </c>
      <c r="D122" s="30">
        <v>493</v>
      </c>
      <c r="E122" s="30" t="s">
        <v>346</v>
      </c>
      <c r="F122" s="30" t="s">
        <v>344</v>
      </c>
      <c r="G122" s="30" t="s">
        <v>379</v>
      </c>
      <c r="H122" s="30">
        <v>958905</v>
      </c>
      <c r="I122" s="30"/>
      <c r="J122" s="30" t="s">
        <v>182</v>
      </c>
      <c r="K122" s="216">
        <v>996.45</v>
      </c>
      <c r="L122" s="143">
        <v>73.957999999999998</v>
      </c>
      <c r="M122" s="216">
        <f>K122-(L122+L123)</f>
        <v>885.3900000000001</v>
      </c>
      <c r="N122" s="217">
        <f>(L122+L123)/K122</f>
        <v>0.11145566762005119</v>
      </c>
    </row>
    <row r="123" spans="1:14" hidden="1">
      <c r="A123" s="30" t="s">
        <v>419</v>
      </c>
      <c r="B123" s="30" t="s">
        <v>390</v>
      </c>
      <c r="C123" s="73">
        <v>45348</v>
      </c>
      <c r="D123" s="30">
        <v>493</v>
      </c>
      <c r="E123" s="30" t="s">
        <v>346</v>
      </c>
      <c r="F123" s="30" t="s">
        <v>344</v>
      </c>
      <c r="G123" s="30" t="s">
        <v>416</v>
      </c>
      <c r="H123" s="30">
        <v>701334</v>
      </c>
      <c r="I123" s="30"/>
      <c r="J123" s="30" t="s">
        <v>182</v>
      </c>
      <c r="K123" s="216"/>
      <c r="L123" s="143">
        <v>37.101999999999997</v>
      </c>
      <c r="M123" s="216"/>
      <c r="N123" s="217"/>
    </row>
    <row r="124" spans="1:14" ht="15" hidden="1" customHeight="1">
      <c r="A124" s="30" t="s">
        <v>419</v>
      </c>
      <c r="B124" s="30" t="s">
        <v>390</v>
      </c>
      <c r="C124" s="73">
        <v>45348</v>
      </c>
      <c r="D124" s="30">
        <v>493</v>
      </c>
      <c r="E124" s="30" t="s">
        <v>346</v>
      </c>
      <c r="F124" s="30" t="s">
        <v>344</v>
      </c>
      <c r="G124" s="30" t="s">
        <v>420</v>
      </c>
      <c r="H124" s="30">
        <v>962899</v>
      </c>
      <c r="I124" s="30"/>
      <c r="J124" s="30" t="s">
        <v>181</v>
      </c>
      <c r="K124" s="216">
        <v>630</v>
      </c>
      <c r="L124" s="143"/>
      <c r="M124" s="216">
        <f>K124-(L124+L125+L126)</f>
        <v>630</v>
      </c>
      <c r="N124" s="217">
        <f>(L124+L125+L126)/K124</f>
        <v>0</v>
      </c>
    </row>
    <row r="125" spans="1:14" ht="15" hidden="1" customHeight="1">
      <c r="A125" s="30" t="s">
        <v>419</v>
      </c>
      <c r="B125" s="30" t="s">
        <v>390</v>
      </c>
      <c r="C125" s="73">
        <v>45348</v>
      </c>
      <c r="D125" s="30">
        <v>493</v>
      </c>
      <c r="E125" s="30" t="s">
        <v>346</v>
      </c>
      <c r="F125" s="30" t="s">
        <v>344</v>
      </c>
      <c r="G125" s="30" t="s">
        <v>421</v>
      </c>
      <c r="H125" s="30">
        <v>950995</v>
      </c>
      <c r="I125" s="30"/>
      <c r="J125" s="30" t="s">
        <v>181</v>
      </c>
      <c r="K125" s="216"/>
      <c r="L125" s="143"/>
      <c r="M125" s="216"/>
      <c r="N125" s="217"/>
    </row>
    <row r="126" spans="1:14" ht="15" hidden="1" customHeight="1">
      <c r="A126" s="30" t="s">
        <v>419</v>
      </c>
      <c r="B126" s="30" t="s">
        <v>390</v>
      </c>
      <c r="C126" s="73">
        <v>45348</v>
      </c>
      <c r="D126" s="30">
        <v>493</v>
      </c>
      <c r="E126" s="30" t="s">
        <v>346</v>
      </c>
      <c r="F126" s="30" t="s">
        <v>344</v>
      </c>
      <c r="G126" s="30" t="s">
        <v>422</v>
      </c>
      <c r="H126" s="30">
        <v>959982</v>
      </c>
      <c r="I126" s="30"/>
      <c r="J126" s="30" t="s">
        <v>181</v>
      </c>
      <c r="K126" s="216"/>
      <c r="L126" s="143"/>
      <c r="M126" s="216"/>
      <c r="N126" s="217"/>
    </row>
    <row r="127" spans="1:14" hidden="1">
      <c r="A127" s="30" t="s">
        <v>419</v>
      </c>
      <c r="B127" s="30" t="s">
        <v>390</v>
      </c>
      <c r="C127" s="73">
        <v>45348</v>
      </c>
      <c r="D127" s="30">
        <v>493</v>
      </c>
      <c r="E127" s="30" t="s">
        <v>346</v>
      </c>
      <c r="F127" s="30" t="s">
        <v>344</v>
      </c>
      <c r="G127" s="30" t="s">
        <v>420</v>
      </c>
      <c r="H127" s="30">
        <v>962899</v>
      </c>
      <c r="I127" s="30"/>
      <c r="J127" s="30" t="s">
        <v>182</v>
      </c>
      <c r="K127" s="216">
        <v>1170</v>
      </c>
      <c r="L127" s="143"/>
      <c r="M127" s="216">
        <f>K127-(L127+L128+L129)</f>
        <v>1170</v>
      </c>
      <c r="N127" s="217">
        <f>(L127+L128+L129)/K127</f>
        <v>0</v>
      </c>
    </row>
    <row r="128" spans="1:14" hidden="1">
      <c r="A128" s="30" t="s">
        <v>419</v>
      </c>
      <c r="B128" s="30" t="s">
        <v>390</v>
      </c>
      <c r="C128" s="73">
        <v>45348</v>
      </c>
      <c r="D128" s="30">
        <v>493</v>
      </c>
      <c r="E128" s="30" t="s">
        <v>346</v>
      </c>
      <c r="F128" s="30" t="s">
        <v>344</v>
      </c>
      <c r="G128" s="30" t="s">
        <v>421</v>
      </c>
      <c r="H128" s="30">
        <v>950995</v>
      </c>
      <c r="I128" s="30"/>
      <c r="J128" s="30" t="s">
        <v>182</v>
      </c>
      <c r="K128" s="216"/>
      <c r="L128" s="143"/>
      <c r="M128" s="216"/>
      <c r="N128" s="217"/>
    </row>
    <row r="129" spans="1:14" hidden="1">
      <c r="A129" s="30" t="s">
        <v>419</v>
      </c>
      <c r="B129" s="30" t="s">
        <v>390</v>
      </c>
      <c r="C129" s="73">
        <v>45348</v>
      </c>
      <c r="D129" s="30">
        <v>493</v>
      </c>
      <c r="E129" s="30" t="s">
        <v>346</v>
      </c>
      <c r="F129" s="30" t="s">
        <v>344</v>
      </c>
      <c r="G129" s="30" t="s">
        <v>422</v>
      </c>
      <c r="H129" s="30">
        <v>959982</v>
      </c>
      <c r="I129" s="30"/>
      <c r="J129" s="30" t="s">
        <v>182</v>
      </c>
      <c r="K129" s="216"/>
      <c r="L129" s="143"/>
      <c r="M129" s="216"/>
      <c r="N129" s="217"/>
    </row>
    <row r="130" spans="1:14" ht="15" hidden="1" customHeight="1">
      <c r="A130" s="30" t="s">
        <v>419</v>
      </c>
      <c r="B130" s="30" t="s">
        <v>390</v>
      </c>
      <c r="C130" s="73">
        <v>45348</v>
      </c>
      <c r="D130" s="30">
        <v>493</v>
      </c>
      <c r="E130" s="30" t="s">
        <v>346</v>
      </c>
      <c r="F130" s="30" t="s">
        <v>344</v>
      </c>
      <c r="G130" s="30" t="s">
        <v>423</v>
      </c>
      <c r="H130" s="30">
        <v>922996</v>
      </c>
      <c r="I130" s="30"/>
      <c r="J130" s="30" t="s">
        <v>181</v>
      </c>
      <c r="K130" s="216">
        <v>708.75</v>
      </c>
      <c r="L130" s="143">
        <v>66.864999999999995</v>
      </c>
      <c r="M130" s="216">
        <f>K130-(L130+L131+L132+L133)</f>
        <v>114.08699999999999</v>
      </c>
      <c r="N130" s="217">
        <f>(L130+L131+L132+L133)/K130</f>
        <v>0.83903068783068779</v>
      </c>
    </row>
    <row r="131" spans="1:14" ht="15" hidden="1" customHeight="1">
      <c r="A131" s="30" t="s">
        <v>419</v>
      </c>
      <c r="B131" s="30" t="s">
        <v>390</v>
      </c>
      <c r="C131" s="73">
        <v>45348</v>
      </c>
      <c r="D131" s="30">
        <v>493</v>
      </c>
      <c r="E131" s="30" t="s">
        <v>346</v>
      </c>
      <c r="F131" s="30" t="s">
        <v>344</v>
      </c>
      <c r="G131" s="30" t="s">
        <v>424</v>
      </c>
      <c r="H131" s="30">
        <v>926655</v>
      </c>
      <c r="I131" s="30"/>
      <c r="J131" s="30" t="s">
        <v>181</v>
      </c>
      <c r="K131" s="216"/>
      <c r="L131" s="143">
        <v>129.83600000000001</v>
      </c>
      <c r="M131" s="216"/>
      <c r="N131" s="217"/>
    </row>
    <row r="132" spans="1:14" ht="15" hidden="1" customHeight="1">
      <c r="A132" s="30" t="s">
        <v>419</v>
      </c>
      <c r="B132" s="30" t="s">
        <v>390</v>
      </c>
      <c r="C132" s="73">
        <v>45348</v>
      </c>
      <c r="D132" s="30">
        <v>493</v>
      </c>
      <c r="E132" s="30" t="s">
        <v>346</v>
      </c>
      <c r="F132" s="30" t="s">
        <v>344</v>
      </c>
      <c r="G132" s="30" t="s">
        <v>425</v>
      </c>
      <c r="H132" s="30">
        <v>698090</v>
      </c>
      <c r="I132" s="30"/>
      <c r="J132" s="30" t="s">
        <v>181</v>
      </c>
      <c r="K132" s="216"/>
      <c r="L132" s="143">
        <v>397.96199999999999</v>
      </c>
      <c r="M132" s="216"/>
      <c r="N132" s="217"/>
    </row>
    <row r="133" spans="1:14" ht="15" hidden="1" customHeight="1">
      <c r="A133" s="30" t="s">
        <v>419</v>
      </c>
      <c r="B133" s="30" t="s">
        <v>390</v>
      </c>
      <c r="C133" s="73">
        <v>45348</v>
      </c>
      <c r="D133" s="30">
        <v>493</v>
      </c>
      <c r="E133" s="30" t="s">
        <v>346</v>
      </c>
      <c r="F133" s="30" t="s">
        <v>344</v>
      </c>
      <c r="G133" s="30" t="s">
        <v>426</v>
      </c>
      <c r="H133" s="30">
        <v>968922</v>
      </c>
      <c r="I133" s="30"/>
      <c r="J133" s="30" t="s">
        <v>181</v>
      </c>
      <c r="K133" s="216"/>
      <c r="L133" s="143"/>
      <c r="M133" s="216"/>
      <c r="N133" s="217"/>
    </row>
    <row r="134" spans="1:14" hidden="1">
      <c r="A134" s="30" t="s">
        <v>419</v>
      </c>
      <c r="B134" s="30" t="s">
        <v>390</v>
      </c>
      <c r="C134" s="73">
        <v>45348</v>
      </c>
      <c r="D134" s="30">
        <v>493</v>
      </c>
      <c r="E134" s="30" t="s">
        <v>346</v>
      </c>
      <c r="F134" s="30" t="s">
        <v>344</v>
      </c>
      <c r="G134" s="30" t="s">
        <v>423</v>
      </c>
      <c r="H134" s="30">
        <v>922996</v>
      </c>
      <c r="I134" s="30"/>
      <c r="J134" s="30" t="s">
        <v>182</v>
      </c>
      <c r="K134" s="216">
        <v>1316.25</v>
      </c>
      <c r="L134" s="143">
        <v>72.811999999999998</v>
      </c>
      <c r="M134" s="216">
        <f>K134-(L134+L135+L136+L137)</f>
        <v>1088.2819999999999</v>
      </c>
      <c r="N134" s="217">
        <f>(L134+L135+L136+L137)/K134</f>
        <v>0.17319506172839505</v>
      </c>
    </row>
    <row r="135" spans="1:14" hidden="1">
      <c r="A135" s="30" t="s">
        <v>419</v>
      </c>
      <c r="B135" s="30" t="s">
        <v>390</v>
      </c>
      <c r="C135" s="73">
        <v>45348</v>
      </c>
      <c r="D135" s="30">
        <v>493</v>
      </c>
      <c r="E135" s="30" t="s">
        <v>346</v>
      </c>
      <c r="F135" s="30" t="s">
        <v>344</v>
      </c>
      <c r="G135" s="30" t="s">
        <v>424</v>
      </c>
      <c r="H135" s="30">
        <v>926655</v>
      </c>
      <c r="I135" s="30"/>
      <c r="J135" s="30" t="s">
        <v>182</v>
      </c>
      <c r="K135" s="216"/>
      <c r="L135" s="143">
        <v>3.3780000000000001</v>
      </c>
      <c r="M135" s="216"/>
      <c r="N135" s="217"/>
    </row>
    <row r="136" spans="1:14" hidden="1">
      <c r="A136" s="30" t="s">
        <v>419</v>
      </c>
      <c r="B136" s="30" t="s">
        <v>390</v>
      </c>
      <c r="C136" s="73">
        <v>45348</v>
      </c>
      <c r="D136" s="30">
        <v>493</v>
      </c>
      <c r="E136" s="30" t="s">
        <v>346</v>
      </c>
      <c r="F136" s="30" t="s">
        <v>344</v>
      </c>
      <c r="G136" s="30" t="s">
        <v>425</v>
      </c>
      <c r="H136" s="30">
        <v>698090</v>
      </c>
      <c r="I136" s="30"/>
      <c r="J136" s="30" t="s">
        <v>182</v>
      </c>
      <c r="K136" s="216"/>
      <c r="L136" s="143">
        <v>151.77799999999999</v>
      </c>
      <c r="M136" s="216"/>
      <c r="N136" s="217"/>
    </row>
    <row r="137" spans="1:14" hidden="1">
      <c r="A137" s="30" t="s">
        <v>419</v>
      </c>
      <c r="B137" s="30" t="s">
        <v>390</v>
      </c>
      <c r="C137" s="73">
        <v>45348</v>
      </c>
      <c r="D137" s="30">
        <v>493</v>
      </c>
      <c r="E137" s="30" t="s">
        <v>346</v>
      </c>
      <c r="F137" s="30" t="s">
        <v>344</v>
      </c>
      <c r="G137" s="30" t="s">
        <v>426</v>
      </c>
      <c r="H137" s="30">
        <v>968922</v>
      </c>
      <c r="I137" s="30"/>
      <c r="J137" s="30" t="s">
        <v>182</v>
      </c>
      <c r="K137" s="216"/>
      <c r="L137" s="143"/>
      <c r="M137" s="216"/>
      <c r="N137" s="217"/>
    </row>
    <row r="138" spans="1:14" ht="15" hidden="1" customHeight="1">
      <c r="A138" s="30" t="s">
        <v>419</v>
      </c>
      <c r="B138" s="30" t="s">
        <v>345</v>
      </c>
      <c r="C138" s="73">
        <v>45348</v>
      </c>
      <c r="D138" s="30">
        <v>493</v>
      </c>
      <c r="E138" s="30" t="s">
        <v>346</v>
      </c>
      <c r="F138" s="30" t="s">
        <v>344</v>
      </c>
      <c r="G138" s="30" t="s">
        <v>427</v>
      </c>
      <c r="H138" s="30">
        <v>699060</v>
      </c>
      <c r="I138" s="30"/>
      <c r="J138" s="30" t="s">
        <v>181</v>
      </c>
      <c r="K138" s="64">
        <v>0</v>
      </c>
      <c r="L138" s="143"/>
      <c r="M138" s="64">
        <f t="shared" ref="M138:M143" si="8">K138-L138</f>
        <v>0</v>
      </c>
      <c r="N138" s="54" t="e">
        <f t="shared" ref="N138:N143" si="9">L138/K138</f>
        <v>#DIV/0!</v>
      </c>
    </row>
    <row r="139" spans="1:14" hidden="1">
      <c r="A139" s="30" t="s">
        <v>419</v>
      </c>
      <c r="B139" s="30" t="s">
        <v>345</v>
      </c>
      <c r="C139" s="73">
        <v>45348</v>
      </c>
      <c r="D139" s="30">
        <v>493</v>
      </c>
      <c r="E139" s="30" t="s">
        <v>346</v>
      </c>
      <c r="F139" s="30" t="s">
        <v>344</v>
      </c>
      <c r="G139" s="30" t="s">
        <v>427</v>
      </c>
      <c r="H139" s="30">
        <v>699060</v>
      </c>
      <c r="I139" s="30"/>
      <c r="J139" s="30" t="s">
        <v>182</v>
      </c>
      <c r="K139" s="64">
        <v>0</v>
      </c>
      <c r="L139" s="143"/>
      <c r="M139" s="64">
        <f t="shared" si="8"/>
        <v>0</v>
      </c>
      <c r="N139" s="54" t="e">
        <f t="shared" si="9"/>
        <v>#DIV/0!</v>
      </c>
    </row>
    <row r="140" spans="1:14" ht="15" hidden="1" customHeight="1">
      <c r="A140" s="30" t="s">
        <v>419</v>
      </c>
      <c r="B140" s="30" t="s">
        <v>345</v>
      </c>
      <c r="C140" s="73">
        <v>45348</v>
      </c>
      <c r="D140" s="30">
        <v>493</v>
      </c>
      <c r="E140" s="30" t="s">
        <v>346</v>
      </c>
      <c r="F140" s="30" t="s">
        <v>344</v>
      </c>
      <c r="G140" s="30" t="s">
        <v>428</v>
      </c>
      <c r="H140" s="30">
        <v>701555</v>
      </c>
      <c r="I140" s="30"/>
      <c r="J140" s="30" t="s">
        <v>181</v>
      </c>
      <c r="K140" s="64">
        <v>76</v>
      </c>
      <c r="L140" s="143">
        <v>48.756</v>
      </c>
      <c r="M140" s="64">
        <f t="shared" si="8"/>
        <v>27.244</v>
      </c>
      <c r="N140" s="54">
        <f t="shared" si="9"/>
        <v>0.64152631578947372</v>
      </c>
    </row>
    <row r="141" spans="1:14" hidden="1">
      <c r="A141" s="30" t="s">
        <v>419</v>
      </c>
      <c r="B141" s="30" t="s">
        <v>345</v>
      </c>
      <c r="C141" s="73">
        <v>45348</v>
      </c>
      <c r="D141" s="30">
        <v>493</v>
      </c>
      <c r="E141" s="30" t="s">
        <v>346</v>
      </c>
      <c r="F141" s="30" t="s">
        <v>344</v>
      </c>
      <c r="G141" s="30" t="s">
        <v>428</v>
      </c>
      <c r="H141" s="30">
        <v>701555</v>
      </c>
      <c r="I141" s="30"/>
      <c r="J141" s="30" t="s">
        <v>182</v>
      </c>
      <c r="K141" s="64">
        <v>124</v>
      </c>
      <c r="L141" s="143">
        <v>48.533999999999999</v>
      </c>
      <c r="M141" s="64">
        <f t="shared" si="8"/>
        <v>75.466000000000008</v>
      </c>
      <c r="N141" s="54">
        <f t="shared" si="9"/>
        <v>0.39140322580645159</v>
      </c>
    </row>
    <row r="142" spans="1:14" ht="15" hidden="1" customHeight="1">
      <c r="A142" s="30" t="s">
        <v>419</v>
      </c>
      <c r="B142" s="30" t="s">
        <v>345</v>
      </c>
      <c r="C142" s="73">
        <v>45348</v>
      </c>
      <c r="D142" s="30">
        <v>493</v>
      </c>
      <c r="E142" s="30" t="s">
        <v>346</v>
      </c>
      <c r="F142" s="30" t="s">
        <v>344</v>
      </c>
      <c r="G142" s="30" t="s">
        <v>413</v>
      </c>
      <c r="H142" s="30">
        <v>958563</v>
      </c>
      <c r="I142" s="30"/>
      <c r="J142" s="30" t="s">
        <v>181</v>
      </c>
      <c r="K142" s="64">
        <v>70</v>
      </c>
      <c r="L142" s="143">
        <v>17.285</v>
      </c>
      <c r="M142" s="64">
        <f t="shared" si="8"/>
        <v>52.715000000000003</v>
      </c>
      <c r="N142" s="54">
        <f t="shared" si="9"/>
        <v>0.24692857142857144</v>
      </c>
    </row>
    <row r="143" spans="1:14" hidden="1">
      <c r="A143" s="30" t="s">
        <v>419</v>
      </c>
      <c r="B143" s="30" t="s">
        <v>345</v>
      </c>
      <c r="C143" s="73">
        <v>45348</v>
      </c>
      <c r="D143" s="30">
        <v>493</v>
      </c>
      <c r="E143" s="30" t="s">
        <v>346</v>
      </c>
      <c r="F143" s="30" t="s">
        <v>344</v>
      </c>
      <c r="G143" s="30" t="s">
        <v>413</v>
      </c>
      <c r="H143" s="30">
        <v>958563</v>
      </c>
      <c r="I143" s="30"/>
      <c r="J143" s="30" t="s">
        <v>182</v>
      </c>
      <c r="K143" s="64">
        <v>130</v>
      </c>
      <c r="L143" s="143">
        <v>30.646999999999998</v>
      </c>
      <c r="M143" s="64">
        <f t="shared" si="8"/>
        <v>99.353000000000009</v>
      </c>
      <c r="N143" s="54">
        <f t="shared" si="9"/>
        <v>0.23574615384615383</v>
      </c>
    </row>
    <row r="144" spans="1:14" ht="15" hidden="1" customHeight="1">
      <c r="A144" s="30" t="s">
        <v>419</v>
      </c>
      <c r="B144" s="30" t="s">
        <v>390</v>
      </c>
      <c r="C144" s="73">
        <v>45348</v>
      </c>
      <c r="D144" s="30">
        <v>493</v>
      </c>
      <c r="E144" s="30" t="s">
        <v>346</v>
      </c>
      <c r="F144" s="30" t="s">
        <v>344</v>
      </c>
      <c r="G144" s="30" t="s">
        <v>429</v>
      </c>
      <c r="H144" s="30">
        <v>702101</v>
      </c>
      <c r="I144" s="30"/>
      <c r="J144" s="30" t="s">
        <v>181</v>
      </c>
      <c r="K144" s="216">
        <v>393.75</v>
      </c>
      <c r="L144" s="143"/>
      <c r="M144" s="216">
        <f>K144-(L144+L145+L146)</f>
        <v>-120.00300000000004</v>
      </c>
      <c r="N144" s="217">
        <f>(L144+L145+L146)/K144</f>
        <v>1.3047695238095238</v>
      </c>
    </row>
    <row r="145" spans="1:14" ht="15" hidden="1" customHeight="1">
      <c r="A145" s="30" t="s">
        <v>419</v>
      </c>
      <c r="B145" s="30" t="s">
        <v>390</v>
      </c>
      <c r="C145" s="73">
        <v>45348</v>
      </c>
      <c r="D145" s="30">
        <v>493</v>
      </c>
      <c r="E145" s="30" t="s">
        <v>346</v>
      </c>
      <c r="F145" s="30" t="s">
        <v>344</v>
      </c>
      <c r="G145" s="30" t="s">
        <v>430</v>
      </c>
      <c r="H145" s="30">
        <v>969106</v>
      </c>
      <c r="I145" s="30"/>
      <c r="J145" s="30" t="s">
        <v>181</v>
      </c>
      <c r="K145" s="216"/>
      <c r="L145" s="143">
        <v>120.974</v>
      </c>
      <c r="M145" s="216"/>
      <c r="N145" s="217"/>
    </row>
    <row r="146" spans="1:14" ht="15" hidden="1" customHeight="1">
      <c r="A146" s="30" t="s">
        <v>419</v>
      </c>
      <c r="B146" s="30" t="s">
        <v>390</v>
      </c>
      <c r="C146" s="73">
        <v>45348</v>
      </c>
      <c r="D146" s="30">
        <v>493</v>
      </c>
      <c r="E146" s="30" t="s">
        <v>346</v>
      </c>
      <c r="F146" s="30" t="s">
        <v>344</v>
      </c>
      <c r="G146" s="30" t="s">
        <v>431</v>
      </c>
      <c r="H146" s="30">
        <v>701866</v>
      </c>
      <c r="I146" s="30"/>
      <c r="J146" s="30" t="s">
        <v>181</v>
      </c>
      <c r="K146" s="216"/>
      <c r="L146" s="143">
        <v>392.779</v>
      </c>
      <c r="M146" s="216"/>
      <c r="N146" s="217"/>
    </row>
    <row r="147" spans="1:14" hidden="1">
      <c r="A147" s="30" t="s">
        <v>419</v>
      </c>
      <c r="B147" s="30" t="s">
        <v>390</v>
      </c>
      <c r="C147" s="73">
        <v>45348</v>
      </c>
      <c r="D147" s="30">
        <v>493</v>
      </c>
      <c r="E147" s="30" t="s">
        <v>346</v>
      </c>
      <c r="F147" s="30" t="s">
        <v>344</v>
      </c>
      <c r="G147" s="30" t="s">
        <v>429</v>
      </c>
      <c r="H147" s="30">
        <v>702101</v>
      </c>
      <c r="I147" s="30"/>
      <c r="J147" s="30" t="s">
        <v>182</v>
      </c>
      <c r="K147" s="216">
        <v>731.25</v>
      </c>
      <c r="L147" s="143"/>
      <c r="M147" s="216">
        <f>K147-(L147+L148+L149)</f>
        <v>121.64100000000008</v>
      </c>
      <c r="N147" s="217">
        <f>(L147+L148+L149)/K147</f>
        <v>0.83365333333333325</v>
      </c>
    </row>
    <row r="148" spans="1:14" hidden="1">
      <c r="A148" s="30" t="s">
        <v>419</v>
      </c>
      <c r="B148" s="30" t="s">
        <v>390</v>
      </c>
      <c r="C148" s="73">
        <v>45348</v>
      </c>
      <c r="D148" s="30">
        <v>493</v>
      </c>
      <c r="E148" s="30" t="s">
        <v>346</v>
      </c>
      <c r="F148" s="30" t="s">
        <v>344</v>
      </c>
      <c r="G148" s="30" t="s">
        <v>430</v>
      </c>
      <c r="H148" s="30">
        <v>969106</v>
      </c>
      <c r="I148" s="30"/>
      <c r="J148" s="30" t="s">
        <v>182</v>
      </c>
      <c r="K148" s="216"/>
      <c r="L148" s="143">
        <v>275.09100000000001</v>
      </c>
      <c r="M148" s="216"/>
      <c r="N148" s="217"/>
    </row>
    <row r="149" spans="1:14" hidden="1">
      <c r="A149" s="30" t="s">
        <v>419</v>
      </c>
      <c r="B149" s="30" t="s">
        <v>390</v>
      </c>
      <c r="C149" s="73">
        <v>45348</v>
      </c>
      <c r="D149" s="30">
        <v>493</v>
      </c>
      <c r="E149" s="30" t="s">
        <v>346</v>
      </c>
      <c r="F149" s="30" t="s">
        <v>344</v>
      </c>
      <c r="G149" s="30" t="s">
        <v>431</v>
      </c>
      <c r="H149" s="30">
        <v>701866</v>
      </c>
      <c r="I149" s="30"/>
      <c r="J149" s="30" t="s">
        <v>182</v>
      </c>
      <c r="K149" s="216"/>
      <c r="L149" s="143">
        <v>334.51799999999997</v>
      </c>
      <c r="M149" s="216"/>
      <c r="N149" s="217"/>
    </row>
    <row r="150" spans="1:14" ht="15" hidden="1" customHeight="1">
      <c r="A150" s="30" t="s">
        <v>419</v>
      </c>
      <c r="B150" s="30" t="s">
        <v>345</v>
      </c>
      <c r="C150" s="73">
        <v>45348</v>
      </c>
      <c r="D150" s="30">
        <v>493</v>
      </c>
      <c r="E150" s="30" t="s">
        <v>346</v>
      </c>
      <c r="F150" s="30" t="s">
        <v>344</v>
      </c>
      <c r="G150" s="30" t="s">
        <v>432</v>
      </c>
      <c r="H150" s="30">
        <v>955486</v>
      </c>
      <c r="I150" s="30"/>
      <c r="J150" s="30" t="s">
        <v>181</v>
      </c>
      <c r="K150" s="64">
        <v>157.5</v>
      </c>
      <c r="L150" s="143">
        <v>142.078</v>
      </c>
      <c r="M150" s="64">
        <f>K150-L150</f>
        <v>15.421999999999997</v>
      </c>
      <c r="N150" s="54">
        <f>L150/K150</f>
        <v>0.90208253968253971</v>
      </c>
    </row>
    <row r="151" spans="1:14" hidden="1">
      <c r="A151" s="30" t="s">
        <v>419</v>
      </c>
      <c r="B151" s="30" t="s">
        <v>345</v>
      </c>
      <c r="C151" s="73">
        <v>45348</v>
      </c>
      <c r="D151" s="30">
        <v>493</v>
      </c>
      <c r="E151" s="30" t="s">
        <v>346</v>
      </c>
      <c r="F151" s="30" t="s">
        <v>344</v>
      </c>
      <c r="G151" s="30" t="s">
        <v>432</v>
      </c>
      <c r="H151" s="30">
        <v>955486</v>
      </c>
      <c r="I151" s="30"/>
      <c r="J151" s="30" t="s">
        <v>182</v>
      </c>
      <c r="K151" s="64">
        <v>292.5</v>
      </c>
      <c r="L151" s="143">
        <v>98.287999999999997</v>
      </c>
      <c r="M151" s="64">
        <f>K151-L151</f>
        <v>194.21199999999999</v>
      </c>
      <c r="N151" s="54">
        <f>L151/K151</f>
        <v>0.33602735042735044</v>
      </c>
    </row>
    <row r="152" spans="1:14" ht="15" hidden="1" customHeight="1">
      <c r="A152" s="30" t="s">
        <v>419</v>
      </c>
      <c r="B152" s="30" t="s">
        <v>390</v>
      </c>
      <c r="C152" s="73">
        <v>45348</v>
      </c>
      <c r="D152" s="30">
        <v>493</v>
      </c>
      <c r="E152" s="30" t="s">
        <v>346</v>
      </c>
      <c r="F152" s="30" t="s">
        <v>344</v>
      </c>
      <c r="G152" s="30" t="s">
        <v>369</v>
      </c>
      <c r="H152" s="30">
        <v>966146</v>
      </c>
      <c r="I152" s="30"/>
      <c r="J152" s="30" t="s">
        <v>181</v>
      </c>
      <c r="K152" s="216">
        <v>350</v>
      </c>
      <c r="L152" s="143">
        <v>17.262</v>
      </c>
      <c r="M152" s="216">
        <f>K152-(L152+L153)</f>
        <v>286.97899999999998</v>
      </c>
      <c r="N152" s="217">
        <f>(L152+L153)/K152</f>
        <v>0.18006</v>
      </c>
    </row>
    <row r="153" spans="1:14" ht="15" hidden="1" customHeight="1">
      <c r="A153" s="30" t="s">
        <v>419</v>
      </c>
      <c r="B153" s="30" t="s">
        <v>390</v>
      </c>
      <c r="C153" s="73">
        <v>45348</v>
      </c>
      <c r="D153" s="30">
        <v>493</v>
      </c>
      <c r="E153" s="30" t="s">
        <v>346</v>
      </c>
      <c r="F153" s="30" t="s">
        <v>344</v>
      </c>
      <c r="G153" s="30" t="s">
        <v>366</v>
      </c>
      <c r="H153" s="30">
        <v>701703</v>
      </c>
      <c r="I153" s="30"/>
      <c r="J153" s="30" t="s">
        <v>181</v>
      </c>
      <c r="K153" s="216"/>
      <c r="L153" s="143">
        <v>45.759</v>
      </c>
      <c r="M153" s="216"/>
      <c r="N153" s="217"/>
    </row>
    <row r="154" spans="1:14" hidden="1">
      <c r="A154" s="30" t="s">
        <v>419</v>
      </c>
      <c r="B154" s="30" t="s">
        <v>390</v>
      </c>
      <c r="C154" s="73">
        <v>45348</v>
      </c>
      <c r="D154" s="30">
        <v>493</v>
      </c>
      <c r="E154" s="30" t="s">
        <v>346</v>
      </c>
      <c r="F154" s="30" t="s">
        <v>344</v>
      </c>
      <c r="G154" s="30" t="s">
        <v>369</v>
      </c>
      <c r="H154" s="30">
        <v>966146</v>
      </c>
      <c r="I154" s="30"/>
      <c r="J154" s="30" t="s">
        <v>182</v>
      </c>
      <c r="K154" s="216">
        <v>650</v>
      </c>
      <c r="L154" s="143">
        <v>9.5180000000000007</v>
      </c>
      <c r="M154" s="216">
        <f>K154-(L154+L155)</f>
        <v>590.37099999999998</v>
      </c>
      <c r="N154" s="217">
        <f>(L154+L155)/K154</f>
        <v>9.1736923076923077E-2</v>
      </c>
    </row>
    <row r="155" spans="1:14" hidden="1">
      <c r="A155" s="30" t="s">
        <v>419</v>
      </c>
      <c r="B155" s="30" t="s">
        <v>390</v>
      </c>
      <c r="C155" s="73">
        <v>45348</v>
      </c>
      <c r="D155" s="30">
        <v>493</v>
      </c>
      <c r="E155" s="30" t="s">
        <v>346</v>
      </c>
      <c r="F155" s="30" t="s">
        <v>344</v>
      </c>
      <c r="G155" s="30" t="s">
        <v>366</v>
      </c>
      <c r="H155" s="30">
        <v>701703</v>
      </c>
      <c r="I155" s="30"/>
      <c r="J155" s="30" t="s">
        <v>182</v>
      </c>
      <c r="K155" s="216"/>
      <c r="L155" s="143">
        <v>50.110999999999997</v>
      </c>
      <c r="M155" s="216"/>
      <c r="N155" s="217"/>
    </row>
    <row r="156" spans="1:14" ht="15" hidden="1" customHeight="1">
      <c r="A156" s="30" t="s">
        <v>419</v>
      </c>
      <c r="B156" s="30" t="s">
        <v>390</v>
      </c>
      <c r="C156" s="73">
        <v>45348</v>
      </c>
      <c r="D156" s="30">
        <v>493</v>
      </c>
      <c r="E156" s="30" t="s">
        <v>346</v>
      </c>
      <c r="F156" s="30" t="s">
        <v>344</v>
      </c>
      <c r="G156" s="30" t="s">
        <v>433</v>
      </c>
      <c r="H156" s="30">
        <v>968833</v>
      </c>
      <c r="I156" s="30"/>
      <c r="J156" s="30" t="s">
        <v>181</v>
      </c>
      <c r="K156" s="216">
        <v>350</v>
      </c>
      <c r="L156" s="143">
        <v>114.56699999999999</v>
      </c>
      <c r="M156" s="216">
        <f>K156-(L156+L157)</f>
        <v>214.59</v>
      </c>
      <c r="N156" s="217">
        <f>(L156+L157)/K156</f>
        <v>0.38688571428571428</v>
      </c>
    </row>
    <row r="157" spans="1:14" ht="15" hidden="1" customHeight="1">
      <c r="A157" s="30" t="s">
        <v>419</v>
      </c>
      <c r="B157" s="30" t="s">
        <v>390</v>
      </c>
      <c r="C157" s="73">
        <v>45348</v>
      </c>
      <c r="D157" s="30">
        <v>493</v>
      </c>
      <c r="E157" s="30" t="s">
        <v>346</v>
      </c>
      <c r="F157" s="30" t="s">
        <v>344</v>
      </c>
      <c r="G157" s="30" t="s">
        <v>434</v>
      </c>
      <c r="H157" s="30">
        <v>701702</v>
      </c>
      <c r="I157" s="30"/>
      <c r="J157" s="30" t="s">
        <v>181</v>
      </c>
      <c r="K157" s="216"/>
      <c r="L157" s="143">
        <v>20.843</v>
      </c>
      <c r="M157" s="216"/>
      <c r="N157" s="217"/>
    </row>
    <row r="158" spans="1:14" hidden="1">
      <c r="A158" s="30" t="s">
        <v>419</v>
      </c>
      <c r="B158" s="30" t="s">
        <v>390</v>
      </c>
      <c r="C158" s="73">
        <v>45348</v>
      </c>
      <c r="D158" s="30">
        <v>493</v>
      </c>
      <c r="E158" s="30" t="s">
        <v>346</v>
      </c>
      <c r="F158" s="30" t="s">
        <v>344</v>
      </c>
      <c r="G158" s="30" t="s">
        <v>433</v>
      </c>
      <c r="H158" s="30">
        <v>968833</v>
      </c>
      <c r="I158" s="30"/>
      <c r="J158" s="30" t="s">
        <v>182</v>
      </c>
      <c r="K158" s="216">
        <v>650</v>
      </c>
      <c r="L158" s="143">
        <v>16.838000000000001</v>
      </c>
      <c r="M158" s="216">
        <f>K158-(L158+L159)</f>
        <v>599.125</v>
      </c>
      <c r="N158" s="217">
        <f>(L158+L159)/K158</f>
        <v>7.8269230769230771E-2</v>
      </c>
    </row>
    <row r="159" spans="1:14" hidden="1">
      <c r="A159" s="30" t="s">
        <v>419</v>
      </c>
      <c r="B159" s="30" t="s">
        <v>390</v>
      </c>
      <c r="C159" s="73">
        <v>45348</v>
      </c>
      <c r="D159" s="30">
        <v>493</v>
      </c>
      <c r="E159" s="30" t="s">
        <v>346</v>
      </c>
      <c r="F159" s="30" t="s">
        <v>344</v>
      </c>
      <c r="G159" s="30" t="s">
        <v>434</v>
      </c>
      <c r="H159" s="30">
        <v>701702</v>
      </c>
      <c r="I159" s="30"/>
      <c r="J159" s="30" t="s">
        <v>182</v>
      </c>
      <c r="K159" s="216"/>
      <c r="L159" s="143">
        <v>34.036999999999999</v>
      </c>
      <c r="M159" s="216"/>
      <c r="N159" s="217"/>
    </row>
    <row r="160" spans="1:14" ht="15" hidden="1" customHeight="1">
      <c r="A160" s="30" t="s">
        <v>419</v>
      </c>
      <c r="B160" s="30" t="s">
        <v>345</v>
      </c>
      <c r="C160" s="73">
        <v>45348</v>
      </c>
      <c r="D160" s="30">
        <v>493</v>
      </c>
      <c r="E160" s="30" t="s">
        <v>346</v>
      </c>
      <c r="F160" s="30" t="s">
        <v>344</v>
      </c>
      <c r="G160" s="30" t="s">
        <v>435</v>
      </c>
      <c r="H160" s="30">
        <v>701940</v>
      </c>
      <c r="I160" s="30"/>
      <c r="J160" s="30" t="s">
        <v>181</v>
      </c>
      <c r="K160" s="64">
        <v>126</v>
      </c>
      <c r="L160" s="143">
        <v>183.89400000000001</v>
      </c>
      <c r="M160" s="64">
        <f>K160-L160</f>
        <v>-57.894000000000005</v>
      </c>
      <c r="N160" s="54">
        <f>L160/K160</f>
        <v>1.4594761904761906</v>
      </c>
    </row>
    <row r="161" spans="1:14" hidden="1">
      <c r="A161" s="30" t="s">
        <v>419</v>
      </c>
      <c r="B161" s="30" t="s">
        <v>345</v>
      </c>
      <c r="C161" s="73">
        <v>45348</v>
      </c>
      <c r="D161" s="30">
        <v>493</v>
      </c>
      <c r="E161" s="30" t="s">
        <v>346</v>
      </c>
      <c r="F161" s="30" t="s">
        <v>344</v>
      </c>
      <c r="G161" s="30" t="s">
        <v>435</v>
      </c>
      <c r="H161" s="30">
        <v>701940</v>
      </c>
      <c r="I161" s="30"/>
      <c r="J161" s="30" t="s">
        <v>182</v>
      </c>
      <c r="K161" s="64">
        <v>294</v>
      </c>
      <c r="L161" s="143">
        <v>231.578</v>
      </c>
      <c r="M161" s="64">
        <f>K161-L161</f>
        <v>62.421999999999997</v>
      </c>
      <c r="N161" s="54">
        <f>L161/K161</f>
        <v>0.7876802721088435</v>
      </c>
    </row>
    <row r="162" spans="1:14" ht="15" hidden="1" customHeight="1">
      <c r="A162" s="30" t="s">
        <v>419</v>
      </c>
      <c r="B162" s="30" t="s">
        <v>390</v>
      </c>
      <c r="C162" s="73">
        <v>45348</v>
      </c>
      <c r="D162" s="30">
        <v>493</v>
      </c>
      <c r="E162" s="30" t="s">
        <v>346</v>
      </c>
      <c r="F162" s="30" t="s">
        <v>344</v>
      </c>
      <c r="G162" s="30" t="s">
        <v>436</v>
      </c>
      <c r="H162" s="30">
        <v>923199</v>
      </c>
      <c r="I162" s="30"/>
      <c r="J162" s="30" t="s">
        <v>181</v>
      </c>
      <c r="K162" s="216">
        <v>157.5</v>
      </c>
      <c r="L162" s="143">
        <v>63.317</v>
      </c>
      <c r="M162" s="216">
        <f>K162-(L162+L163)</f>
        <v>94.182999999999993</v>
      </c>
      <c r="N162" s="217">
        <f>(L162+L163)/K162</f>
        <v>0.40201269841269843</v>
      </c>
    </row>
    <row r="163" spans="1:14" ht="15" hidden="1" customHeight="1">
      <c r="A163" s="30" t="s">
        <v>419</v>
      </c>
      <c r="B163" s="30" t="s">
        <v>390</v>
      </c>
      <c r="C163" s="73">
        <v>45348</v>
      </c>
      <c r="D163" s="30">
        <v>493</v>
      </c>
      <c r="E163" s="30" t="s">
        <v>346</v>
      </c>
      <c r="F163" s="30" t="s">
        <v>344</v>
      </c>
      <c r="G163" s="30" t="s">
        <v>437</v>
      </c>
      <c r="H163" s="30">
        <v>964068</v>
      </c>
      <c r="I163" s="30"/>
      <c r="J163" s="30" t="s">
        <v>181</v>
      </c>
      <c r="K163" s="216"/>
      <c r="L163" s="143"/>
      <c r="M163" s="216"/>
      <c r="N163" s="217"/>
    </row>
    <row r="164" spans="1:14" hidden="1">
      <c r="A164" s="30" t="s">
        <v>419</v>
      </c>
      <c r="B164" s="30" t="s">
        <v>390</v>
      </c>
      <c r="C164" s="73">
        <v>45348</v>
      </c>
      <c r="D164" s="30">
        <v>493</v>
      </c>
      <c r="E164" s="30" t="s">
        <v>346</v>
      </c>
      <c r="F164" s="30" t="s">
        <v>344</v>
      </c>
      <c r="G164" s="30" t="s">
        <v>436</v>
      </c>
      <c r="H164" s="30">
        <v>923199</v>
      </c>
      <c r="I164" s="30"/>
      <c r="J164" s="30" t="s">
        <v>182</v>
      </c>
      <c r="K164" s="216">
        <v>292.5</v>
      </c>
      <c r="L164" s="143">
        <v>35.616</v>
      </c>
      <c r="M164" s="216">
        <f>K164-(L164+L165)</f>
        <v>256.88400000000001</v>
      </c>
      <c r="N164" s="217">
        <f>(L164+L165)/K164</f>
        <v>0.12176410256410257</v>
      </c>
    </row>
    <row r="165" spans="1:14" hidden="1">
      <c r="A165" s="30" t="s">
        <v>419</v>
      </c>
      <c r="B165" s="30" t="s">
        <v>390</v>
      </c>
      <c r="C165" s="73">
        <v>45348</v>
      </c>
      <c r="D165" s="30">
        <v>493</v>
      </c>
      <c r="E165" s="30" t="s">
        <v>346</v>
      </c>
      <c r="F165" s="30" t="s">
        <v>344</v>
      </c>
      <c r="G165" s="30" t="s">
        <v>437</v>
      </c>
      <c r="H165" s="30">
        <v>964068</v>
      </c>
      <c r="I165" s="30"/>
      <c r="J165" s="30" t="s">
        <v>182</v>
      </c>
      <c r="K165" s="216"/>
      <c r="L165" s="143"/>
      <c r="M165" s="216"/>
      <c r="N165" s="217"/>
    </row>
    <row r="166" spans="1:14" ht="15" hidden="1" customHeight="1">
      <c r="A166" s="30" t="s">
        <v>419</v>
      </c>
      <c r="B166" s="30" t="s">
        <v>345</v>
      </c>
      <c r="C166" s="73">
        <v>45348</v>
      </c>
      <c r="D166" s="30">
        <v>493</v>
      </c>
      <c r="E166" s="30" t="s">
        <v>346</v>
      </c>
      <c r="F166" s="30" t="s">
        <v>344</v>
      </c>
      <c r="G166" s="30" t="s">
        <v>438</v>
      </c>
      <c r="H166" s="30">
        <v>968681</v>
      </c>
      <c r="I166" s="30"/>
      <c r="J166" s="30" t="s">
        <v>181</v>
      </c>
      <c r="K166" s="64">
        <v>58.773000000000003</v>
      </c>
      <c r="L166" s="143">
        <v>58.773000000000003</v>
      </c>
      <c r="M166" s="64">
        <f t="shared" ref="M166:M171" si="10">K166-L166</f>
        <v>0</v>
      </c>
      <c r="N166" s="54">
        <f t="shared" ref="N166:N171" si="11">L166/K166</f>
        <v>1</v>
      </c>
    </row>
    <row r="167" spans="1:14" hidden="1">
      <c r="A167" s="30" t="s">
        <v>419</v>
      </c>
      <c r="B167" s="30" t="s">
        <v>345</v>
      </c>
      <c r="C167" s="73">
        <v>45348</v>
      </c>
      <c r="D167" s="30">
        <v>493</v>
      </c>
      <c r="E167" s="30" t="s">
        <v>346</v>
      </c>
      <c r="F167" s="30" t="s">
        <v>344</v>
      </c>
      <c r="G167" s="30" t="s">
        <v>438</v>
      </c>
      <c r="H167" s="30">
        <v>968681</v>
      </c>
      <c r="I167" s="30"/>
      <c r="J167" s="30" t="s">
        <v>182</v>
      </c>
      <c r="K167" s="64">
        <v>25.885000000000002</v>
      </c>
      <c r="L167" s="143">
        <v>25.885000000000002</v>
      </c>
      <c r="M167" s="64">
        <f t="shared" si="10"/>
        <v>0</v>
      </c>
      <c r="N167" s="54">
        <f t="shared" si="11"/>
        <v>1</v>
      </c>
    </row>
    <row r="168" spans="1:14" ht="15" hidden="1" customHeight="1">
      <c r="A168" s="30" t="s">
        <v>419</v>
      </c>
      <c r="B168" s="30" t="s">
        <v>345</v>
      </c>
      <c r="C168" s="73">
        <v>45348</v>
      </c>
      <c r="D168" s="30">
        <v>493</v>
      </c>
      <c r="E168" s="30" t="s">
        <v>346</v>
      </c>
      <c r="F168" s="30" t="s">
        <v>344</v>
      </c>
      <c r="G168" s="30" t="s">
        <v>439</v>
      </c>
      <c r="H168" s="30">
        <v>700197</v>
      </c>
      <c r="I168" s="30"/>
      <c r="J168" s="30" t="s">
        <v>181</v>
      </c>
      <c r="K168" s="64">
        <v>105</v>
      </c>
      <c r="L168" s="143">
        <v>96.421999999999997</v>
      </c>
      <c r="M168" s="64">
        <f t="shared" si="10"/>
        <v>8.578000000000003</v>
      </c>
      <c r="N168" s="54">
        <f t="shared" si="11"/>
        <v>0.91830476190476185</v>
      </c>
    </row>
    <row r="169" spans="1:14" hidden="1">
      <c r="A169" s="30" t="s">
        <v>419</v>
      </c>
      <c r="B169" s="30" t="s">
        <v>345</v>
      </c>
      <c r="C169" s="73">
        <v>45348</v>
      </c>
      <c r="D169" s="30">
        <v>493</v>
      </c>
      <c r="E169" s="30" t="s">
        <v>346</v>
      </c>
      <c r="F169" s="30" t="s">
        <v>344</v>
      </c>
      <c r="G169" s="30" t="s">
        <v>439</v>
      </c>
      <c r="H169" s="30">
        <v>700197</v>
      </c>
      <c r="I169" s="30"/>
      <c r="J169" s="30" t="s">
        <v>182</v>
      </c>
      <c r="K169" s="64">
        <v>195</v>
      </c>
      <c r="L169" s="143">
        <v>204.57300000000001</v>
      </c>
      <c r="M169" s="64">
        <f t="shared" si="10"/>
        <v>-9.5730000000000075</v>
      </c>
      <c r="N169" s="54">
        <f t="shared" si="11"/>
        <v>1.0490923076923078</v>
      </c>
    </row>
    <row r="170" spans="1:14" ht="15" hidden="1" customHeight="1">
      <c r="A170" s="30" t="s">
        <v>419</v>
      </c>
      <c r="B170" s="30" t="s">
        <v>345</v>
      </c>
      <c r="C170" s="73">
        <v>45348</v>
      </c>
      <c r="D170" s="30">
        <v>493</v>
      </c>
      <c r="E170" s="30" t="s">
        <v>346</v>
      </c>
      <c r="F170" s="30" t="s">
        <v>344</v>
      </c>
      <c r="G170" s="30" t="s">
        <v>440</v>
      </c>
      <c r="H170" s="30">
        <v>953832</v>
      </c>
      <c r="I170" s="30"/>
      <c r="J170" s="30" t="s">
        <v>181</v>
      </c>
      <c r="K170" s="64">
        <v>52.5</v>
      </c>
      <c r="L170" s="143">
        <v>77.641000000000005</v>
      </c>
      <c r="M170" s="64">
        <f t="shared" si="10"/>
        <v>-25.141000000000005</v>
      </c>
      <c r="N170" s="54">
        <f t="shared" si="11"/>
        <v>1.4788761904761907</v>
      </c>
    </row>
    <row r="171" spans="1:14" hidden="1">
      <c r="A171" s="30" t="s">
        <v>419</v>
      </c>
      <c r="B171" s="30" t="s">
        <v>345</v>
      </c>
      <c r="C171" s="73">
        <v>45348</v>
      </c>
      <c r="D171" s="30">
        <v>493</v>
      </c>
      <c r="E171" s="30" t="s">
        <v>346</v>
      </c>
      <c r="F171" s="30" t="s">
        <v>344</v>
      </c>
      <c r="G171" s="30" t="s">
        <v>440</v>
      </c>
      <c r="H171" s="30">
        <v>953832</v>
      </c>
      <c r="I171" s="30"/>
      <c r="J171" s="30" t="s">
        <v>182</v>
      </c>
      <c r="K171" s="64">
        <v>97.5</v>
      </c>
      <c r="L171" s="143">
        <v>72.358999999999995</v>
      </c>
      <c r="M171" s="64">
        <f t="shared" si="10"/>
        <v>25.141000000000005</v>
      </c>
      <c r="N171" s="54">
        <f t="shared" si="11"/>
        <v>0.74214358974358974</v>
      </c>
    </row>
    <row r="172" spans="1:14" ht="15" hidden="1" customHeight="1">
      <c r="A172" s="30" t="s">
        <v>419</v>
      </c>
      <c r="B172" s="30" t="s">
        <v>390</v>
      </c>
      <c r="C172" s="73">
        <v>45348</v>
      </c>
      <c r="D172" s="30">
        <v>493</v>
      </c>
      <c r="E172" s="30" t="s">
        <v>346</v>
      </c>
      <c r="F172" s="30" t="s">
        <v>344</v>
      </c>
      <c r="G172" s="30" t="s">
        <v>441</v>
      </c>
      <c r="H172" s="30">
        <v>955809</v>
      </c>
      <c r="I172" s="30"/>
      <c r="J172" s="30" t="s">
        <v>181</v>
      </c>
      <c r="K172" s="216">
        <v>0</v>
      </c>
      <c r="L172" s="143"/>
      <c r="M172" s="216">
        <f>K172-(L172+L173)</f>
        <v>0</v>
      </c>
      <c r="N172" s="217" t="e">
        <f>(L172+L173)/K172</f>
        <v>#DIV/0!</v>
      </c>
    </row>
    <row r="173" spans="1:14" ht="15" hidden="1" customHeight="1">
      <c r="A173" s="30" t="s">
        <v>419</v>
      </c>
      <c r="B173" s="30" t="s">
        <v>390</v>
      </c>
      <c r="C173" s="73">
        <v>45348</v>
      </c>
      <c r="D173" s="30">
        <v>493</v>
      </c>
      <c r="E173" s="30" t="s">
        <v>346</v>
      </c>
      <c r="F173" s="30" t="s">
        <v>344</v>
      </c>
      <c r="G173" s="30" t="s">
        <v>442</v>
      </c>
      <c r="H173" s="30">
        <v>964621</v>
      </c>
      <c r="I173" s="30"/>
      <c r="J173" s="30" t="s">
        <v>181</v>
      </c>
      <c r="K173" s="216"/>
      <c r="L173" s="143"/>
      <c r="M173" s="216"/>
      <c r="N173" s="217"/>
    </row>
    <row r="174" spans="1:14" hidden="1">
      <c r="A174" s="30" t="s">
        <v>419</v>
      </c>
      <c r="B174" s="30" t="s">
        <v>390</v>
      </c>
      <c r="C174" s="73">
        <v>45348</v>
      </c>
      <c r="D174" s="30">
        <v>493</v>
      </c>
      <c r="E174" s="30" t="s">
        <v>346</v>
      </c>
      <c r="F174" s="30" t="s">
        <v>344</v>
      </c>
      <c r="G174" s="30" t="s">
        <v>441</v>
      </c>
      <c r="H174" s="30">
        <v>955809</v>
      </c>
      <c r="I174" s="30"/>
      <c r="J174" s="30" t="s">
        <v>182</v>
      </c>
      <c r="K174" s="216">
        <v>0</v>
      </c>
      <c r="L174" s="143"/>
      <c r="M174" s="216">
        <f>K174-(L174+L175)</f>
        <v>0</v>
      </c>
      <c r="N174" s="217" t="e">
        <f>(L174+L175)/K174</f>
        <v>#DIV/0!</v>
      </c>
    </row>
    <row r="175" spans="1:14" hidden="1">
      <c r="A175" s="30" t="s">
        <v>419</v>
      </c>
      <c r="B175" s="30" t="s">
        <v>390</v>
      </c>
      <c r="C175" s="73">
        <v>45348</v>
      </c>
      <c r="D175" s="30">
        <v>493</v>
      </c>
      <c r="E175" s="30" t="s">
        <v>346</v>
      </c>
      <c r="F175" s="30" t="s">
        <v>344</v>
      </c>
      <c r="G175" s="30" t="s">
        <v>442</v>
      </c>
      <c r="H175" s="30">
        <v>964621</v>
      </c>
      <c r="I175" s="30"/>
      <c r="J175" s="30" t="s">
        <v>182</v>
      </c>
      <c r="K175" s="216"/>
      <c r="L175" s="143"/>
      <c r="M175" s="216"/>
      <c r="N175" s="217"/>
    </row>
    <row r="176" spans="1:14" ht="15" hidden="1" customHeight="1">
      <c r="A176" s="30" t="s">
        <v>419</v>
      </c>
      <c r="B176" s="30" t="s">
        <v>345</v>
      </c>
      <c r="C176" s="73">
        <v>45348</v>
      </c>
      <c r="D176" s="30">
        <v>493</v>
      </c>
      <c r="E176" s="30" t="s">
        <v>346</v>
      </c>
      <c r="F176" s="30" t="s">
        <v>344</v>
      </c>
      <c r="G176" s="30" t="s">
        <v>443</v>
      </c>
      <c r="H176" s="30">
        <v>968710</v>
      </c>
      <c r="I176" s="30"/>
      <c r="J176" s="30" t="s">
        <v>181</v>
      </c>
      <c r="K176" s="64">
        <v>0</v>
      </c>
      <c r="L176" s="143"/>
      <c r="M176" s="64">
        <f t="shared" ref="M176:M181" si="12">K176-L176</f>
        <v>0</v>
      </c>
      <c r="N176" s="54" t="e">
        <f t="shared" ref="N176:N181" si="13">L176/K176</f>
        <v>#DIV/0!</v>
      </c>
    </row>
    <row r="177" spans="1:14" hidden="1">
      <c r="A177" s="30" t="s">
        <v>419</v>
      </c>
      <c r="B177" s="30" t="s">
        <v>345</v>
      </c>
      <c r="C177" s="73">
        <v>45348</v>
      </c>
      <c r="D177" s="30">
        <v>493</v>
      </c>
      <c r="E177" s="30" t="s">
        <v>346</v>
      </c>
      <c r="F177" s="30" t="s">
        <v>344</v>
      </c>
      <c r="G177" s="30" t="s">
        <v>443</v>
      </c>
      <c r="H177" s="30">
        <v>968710</v>
      </c>
      <c r="I177" s="30"/>
      <c r="J177" s="30" t="s">
        <v>182</v>
      </c>
      <c r="K177" s="64">
        <v>0</v>
      </c>
      <c r="L177" s="143"/>
      <c r="M177" s="64">
        <f t="shared" si="12"/>
        <v>0</v>
      </c>
      <c r="N177" s="54" t="e">
        <f t="shared" si="13"/>
        <v>#DIV/0!</v>
      </c>
    </row>
    <row r="178" spans="1:14" ht="15" hidden="1" customHeight="1">
      <c r="A178" s="30" t="s">
        <v>419</v>
      </c>
      <c r="B178" s="30" t="s">
        <v>345</v>
      </c>
      <c r="C178" s="73">
        <v>45348</v>
      </c>
      <c r="D178" s="30">
        <v>493</v>
      </c>
      <c r="E178" s="30" t="s">
        <v>346</v>
      </c>
      <c r="F178" s="30" t="s">
        <v>344</v>
      </c>
      <c r="G178" s="30" t="s">
        <v>444</v>
      </c>
      <c r="H178" s="30">
        <v>697611</v>
      </c>
      <c r="I178" s="30"/>
      <c r="J178" s="30" t="s">
        <v>181</v>
      </c>
      <c r="K178" s="64">
        <v>0</v>
      </c>
      <c r="L178" s="143"/>
      <c r="M178" s="64">
        <f t="shared" si="12"/>
        <v>0</v>
      </c>
      <c r="N178" s="54" t="e">
        <f t="shared" si="13"/>
        <v>#DIV/0!</v>
      </c>
    </row>
    <row r="179" spans="1:14" hidden="1">
      <c r="A179" s="30" t="s">
        <v>419</v>
      </c>
      <c r="B179" s="30" t="s">
        <v>345</v>
      </c>
      <c r="C179" s="73">
        <v>45348</v>
      </c>
      <c r="D179" s="30">
        <v>493</v>
      </c>
      <c r="E179" s="30" t="s">
        <v>346</v>
      </c>
      <c r="F179" s="30" t="s">
        <v>344</v>
      </c>
      <c r="G179" s="30" t="s">
        <v>444</v>
      </c>
      <c r="H179" s="30">
        <v>697611</v>
      </c>
      <c r="I179" s="30"/>
      <c r="J179" s="30" t="s">
        <v>182</v>
      </c>
      <c r="K179" s="64">
        <v>4.1289999999999996</v>
      </c>
      <c r="L179" s="143">
        <v>4.1289999999999996</v>
      </c>
      <c r="M179" s="64">
        <f t="shared" si="12"/>
        <v>0</v>
      </c>
      <c r="N179" s="54">
        <f t="shared" si="13"/>
        <v>1</v>
      </c>
    </row>
    <row r="180" spans="1:14" ht="15" hidden="1" customHeight="1">
      <c r="A180" s="30" t="s">
        <v>419</v>
      </c>
      <c r="B180" s="30" t="s">
        <v>345</v>
      </c>
      <c r="C180" s="73">
        <v>45348</v>
      </c>
      <c r="D180" s="30">
        <v>493</v>
      </c>
      <c r="E180" s="30" t="s">
        <v>346</v>
      </c>
      <c r="F180" s="30" t="s">
        <v>344</v>
      </c>
      <c r="G180" s="30" t="s">
        <v>445</v>
      </c>
      <c r="H180" s="30">
        <v>951038</v>
      </c>
      <c r="I180" s="30"/>
      <c r="J180" s="30" t="s">
        <v>181</v>
      </c>
      <c r="K180" s="64">
        <v>52.5</v>
      </c>
      <c r="L180" s="143">
        <v>52.5</v>
      </c>
      <c r="M180" s="64">
        <f t="shared" si="12"/>
        <v>0</v>
      </c>
      <c r="N180" s="54">
        <f t="shared" si="13"/>
        <v>1</v>
      </c>
    </row>
    <row r="181" spans="1:14" hidden="1">
      <c r="A181" s="30" t="s">
        <v>419</v>
      </c>
      <c r="B181" s="30" t="s">
        <v>345</v>
      </c>
      <c r="C181" s="73">
        <v>45348</v>
      </c>
      <c r="D181" s="30">
        <v>493</v>
      </c>
      <c r="E181" s="30" t="s">
        <v>346</v>
      </c>
      <c r="F181" s="30" t="s">
        <v>344</v>
      </c>
      <c r="G181" s="30" t="s">
        <v>445</v>
      </c>
      <c r="H181" s="30">
        <v>951038</v>
      </c>
      <c r="I181" s="30"/>
      <c r="J181" s="30" t="s">
        <v>182</v>
      </c>
      <c r="K181" s="64">
        <v>97.5</v>
      </c>
      <c r="L181" s="143">
        <v>96.834999999999994</v>
      </c>
      <c r="M181" s="64">
        <f t="shared" si="12"/>
        <v>0.66500000000000625</v>
      </c>
      <c r="N181" s="54">
        <f t="shared" si="13"/>
        <v>0.99317948717948712</v>
      </c>
    </row>
    <row r="182" spans="1:14" ht="15" hidden="1" customHeight="1">
      <c r="A182" s="30" t="s">
        <v>419</v>
      </c>
      <c r="B182" s="30" t="s">
        <v>390</v>
      </c>
      <c r="C182" s="73">
        <v>45348</v>
      </c>
      <c r="D182" s="30">
        <v>493</v>
      </c>
      <c r="E182" s="30" t="s">
        <v>346</v>
      </c>
      <c r="F182" s="30" t="s">
        <v>344</v>
      </c>
      <c r="G182" s="30" t="s">
        <v>446</v>
      </c>
      <c r="H182" s="30">
        <v>955420</v>
      </c>
      <c r="I182" s="30"/>
      <c r="J182" s="30" t="s">
        <v>181</v>
      </c>
      <c r="K182" s="216">
        <v>94.5</v>
      </c>
      <c r="L182" s="143"/>
      <c r="M182" s="216">
        <f>K182-(L182+L183)</f>
        <v>12.305000000000007</v>
      </c>
      <c r="N182" s="217">
        <f>(L182+L183)/K182</f>
        <v>0.86978835978835967</v>
      </c>
    </row>
    <row r="183" spans="1:14" ht="15" hidden="1" customHeight="1">
      <c r="A183" s="30" t="s">
        <v>419</v>
      </c>
      <c r="B183" s="30" t="s">
        <v>390</v>
      </c>
      <c r="C183" s="73">
        <v>45348</v>
      </c>
      <c r="D183" s="30">
        <v>493</v>
      </c>
      <c r="E183" s="30" t="s">
        <v>346</v>
      </c>
      <c r="F183" s="30" t="s">
        <v>344</v>
      </c>
      <c r="G183" s="30" t="s">
        <v>447</v>
      </c>
      <c r="H183" s="30">
        <v>700930</v>
      </c>
      <c r="I183" s="30"/>
      <c r="J183" s="30" t="s">
        <v>181</v>
      </c>
      <c r="K183" s="216"/>
      <c r="L183" s="143">
        <v>82.194999999999993</v>
      </c>
      <c r="M183" s="216"/>
      <c r="N183" s="217"/>
    </row>
    <row r="184" spans="1:14" hidden="1">
      <c r="A184" s="30" t="s">
        <v>419</v>
      </c>
      <c r="B184" s="30" t="s">
        <v>390</v>
      </c>
      <c r="C184" s="73">
        <v>45348</v>
      </c>
      <c r="D184" s="30">
        <v>493</v>
      </c>
      <c r="E184" s="30" t="s">
        <v>346</v>
      </c>
      <c r="F184" s="30" t="s">
        <v>344</v>
      </c>
      <c r="G184" s="30" t="s">
        <v>446</v>
      </c>
      <c r="H184" s="30">
        <v>955420</v>
      </c>
      <c r="I184" s="30"/>
      <c r="J184" s="30" t="s">
        <v>182</v>
      </c>
      <c r="K184" s="216">
        <v>175.5</v>
      </c>
      <c r="L184" s="143"/>
      <c r="M184" s="216">
        <f>K184-(L184+L185)</f>
        <v>34.222000000000008</v>
      </c>
      <c r="N184" s="217">
        <f>(L184+L185)/K184</f>
        <v>0.80500284900284891</v>
      </c>
    </row>
    <row r="185" spans="1:14" hidden="1">
      <c r="A185" s="30" t="s">
        <v>419</v>
      </c>
      <c r="B185" s="30" t="s">
        <v>390</v>
      </c>
      <c r="C185" s="73">
        <v>45348</v>
      </c>
      <c r="D185" s="30">
        <v>493</v>
      </c>
      <c r="E185" s="30" t="s">
        <v>346</v>
      </c>
      <c r="F185" s="30" t="s">
        <v>344</v>
      </c>
      <c r="G185" s="30" t="s">
        <v>447</v>
      </c>
      <c r="H185" s="30">
        <v>700930</v>
      </c>
      <c r="I185" s="30"/>
      <c r="J185" s="30" t="s">
        <v>182</v>
      </c>
      <c r="K185" s="216"/>
      <c r="L185" s="143">
        <v>141.27799999999999</v>
      </c>
      <c r="M185" s="216"/>
      <c r="N185" s="217"/>
    </row>
    <row r="186" spans="1:14" ht="15" hidden="1" customHeight="1">
      <c r="A186" s="30" t="s">
        <v>419</v>
      </c>
      <c r="B186" s="30" t="s">
        <v>345</v>
      </c>
      <c r="C186" s="73">
        <v>45348</v>
      </c>
      <c r="D186" s="30">
        <v>493</v>
      </c>
      <c r="E186" s="30" t="s">
        <v>346</v>
      </c>
      <c r="F186" s="30" t="s">
        <v>344</v>
      </c>
      <c r="G186" s="30" t="s">
        <v>448</v>
      </c>
      <c r="H186" s="30">
        <v>966093</v>
      </c>
      <c r="I186" s="30"/>
      <c r="J186" s="30" t="s">
        <v>181</v>
      </c>
      <c r="K186" s="64">
        <v>80.5</v>
      </c>
      <c r="L186" s="143">
        <v>23.940999999999999</v>
      </c>
      <c r="M186" s="64">
        <f t="shared" ref="M186:M217" si="14">K186-L186</f>
        <v>56.558999999999997</v>
      </c>
      <c r="N186" s="54">
        <f t="shared" ref="N186:N217" si="15">L186/K186</f>
        <v>0.29740372670807452</v>
      </c>
    </row>
    <row r="187" spans="1:14" hidden="1">
      <c r="A187" s="30" t="s">
        <v>419</v>
      </c>
      <c r="B187" s="30" t="s">
        <v>345</v>
      </c>
      <c r="C187" s="73">
        <v>45348</v>
      </c>
      <c r="D187" s="30">
        <v>493</v>
      </c>
      <c r="E187" s="30" t="s">
        <v>346</v>
      </c>
      <c r="F187" s="30" t="s">
        <v>344</v>
      </c>
      <c r="G187" s="30" t="s">
        <v>448</v>
      </c>
      <c r="H187" s="30">
        <v>966093</v>
      </c>
      <c r="I187" s="30"/>
      <c r="J187" s="30" t="s">
        <v>182</v>
      </c>
      <c r="K187" s="64">
        <v>149.5</v>
      </c>
      <c r="L187" s="143">
        <v>49.158999999999999</v>
      </c>
      <c r="M187" s="64">
        <f t="shared" si="14"/>
        <v>100.34100000000001</v>
      </c>
      <c r="N187" s="54">
        <f t="shared" si="15"/>
        <v>0.32882274247491639</v>
      </c>
    </row>
    <row r="188" spans="1:14" ht="15" hidden="1" customHeight="1">
      <c r="A188" s="30" t="s">
        <v>419</v>
      </c>
      <c r="B188" s="30" t="s">
        <v>345</v>
      </c>
      <c r="C188" s="73">
        <v>45348</v>
      </c>
      <c r="D188" s="30">
        <v>493</v>
      </c>
      <c r="E188" s="30" t="s">
        <v>346</v>
      </c>
      <c r="F188" s="30" t="s">
        <v>344</v>
      </c>
      <c r="G188" s="30" t="s">
        <v>449</v>
      </c>
      <c r="H188" s="30">
        <v>968520</v>
      </c>
      <c r="I188" s="30"/>
      <c r="J188" s="30" t="s">
        <v>181</v>
      </c>
      <c r="K188" s="64">
        <v>0</v>
      </c>
      <c r="L188" s="143"/>
      <c r="M188" s="64">
        <f t="shared" si="14"/>
        <v>0</v>
      </c>
      <c r="N188" s="54" t="e">
        <f t="shared" si="15"/>
        <v>#DIV/0!</v>
      </c>
    </row>
    <row r="189" spans="1:14" hidden="1">
      <c r="A189" s="30" t="s">
        <v>419</v>
      </c>
      <c r="B189" s="30" t="s">
        <v>345</v>
      </c>
      <c r="C189" s="73">
        <v>45348</v>
      </c>
      <c r="D189" s="30">
        <v>493</v>
      </c>
      <c r="E189" s="30" t="s">
        <v>346</v>
      </c>
      <c r="F189" s="30" t="s">
        <v>344</v>
      </c>
      <c r="G189" s="30" t="s">
        <v>449</v>
      </c>
      <c r="H189" s="30">
        <v>968520</v>
      </c>
      <c r="I189" s="30"/>
      <c r="J189" s="30" t="s">
        <v>182</v>
      </c>
      <c r="K189" s="64">
        <v>0</v>
      </c>
      <c r="L189" s="143"/>
      <c r="M189" s="64">
        <f t="shared" si="14"/>
        <v>0</v>
      </c>
      <c r="N189" s="54" t="e">
        <f t="shared" si="15"/>
        <v>#DIV/0!</v>
      </c>
    </row>
    <row r="190" spans="1:14" ht="15" hidden="1" customHeight="1">
      <c r="A190" s="30" t="s">
        <v>419</v>
      </c>
      <c r="B190" s="30" t="s">
        <v>345</v>
      </c>
      <c r="C190" s="73">
        <v>45348</v>
      </c>
      <c r="D190" s="30">
        <v>493</v>
      </c>
      <c r="E190" s="30" t="s">
        <v>346</v>
      </c>
      <c r="F190" s="30" t="s">
        <v>344</v>
      </c>
      <c r="G190" s="30" t="s">
        <v>450</v>
      </c>
      <c r="H190" s="30">
        <v>955168</v>
      </c>
      <c r="I190" s="30"/>
      <c r="J190" s="30" t="s">
        <v>181</v>
      </c>
      <c r="K190" s="64">
        <v>76</v>
      </c>
      <c r="L190" s="143">
        <v>43.161000000000001</v>
      </c>
      <c r="M190" s="64">
        <f t="shared" si="14"/>
        <v>32.838999999999999</v>
      </c>
      <c r="N190" s="54">
        <f t="shared" si="15"/>
        <v>0.56790789473684211</v>
      </c>
    </row>
    <row r="191" spans="1:14" hidden="1">
      <c r="A191" s="30" t="s">
        <v>419</v>
      </c>
      <c r="B191" s="30" t="s">
        <v>345</v>
      </c>
      <c r="C191" s="73">
        <v>45348</v>
      </c>
      <c r="D191" s="30">
        <v>493</v>
      </c>
      <c r="E191" s="30" t="s">
        <v>346</v>
      </c>
      <c r="F191" s="30" t="s">
        <v>344</v>
      </c>
      <c r="G191" s="30" t="s">
        <v>450</v>
      </c>
      <c r="H191" s="30">
        <v>955168</v>
      </c>
      <c r="I191" s="30"/>
      <c r="J191" s="30" t="s">
        <v>182</v>
      </c>
      <c r="K191" s="64">
        <v>124</v>
      </c>
      <c r="L191" s="143">
        <v>96.015000000000001</v>
      </c>
      <c r="M191" s="64">
        <f t="shared" si="14"/>
        <v>27.984999999999999</v>
      </c>
      <c r="N191" s="54">
        <f t="shared" si="15"/>
        <v>0.77431451612903224</v>
      </c>
    </row>
    <row r="192" spans="1:14" ht="15" hidden="1" customHeight="1">
      <c r="A192" s="30" t="s">
        <v>451</v>
      </c>
      <c r="B192" s="30" t="s">
        <v>345</v>
      </c>
      <c r="C192" s="73">
        <v>45348</v>
      </c>
      <c r="D192" s="30">
        <v>495</v>
      </c>
      <c r="E192" s="30" t="s">
        <v>346</v>
      </c>
      <c r="F192" s="30" t="s">
        <v>344</v>
      </c>
      <c r="G192" s="30" t="s">
        <v>452</v>
      </c>
      <c r="H192" s="30">
        <v>955511</v>
      </c>
      <c r="I192" s="30"/>
      <c r="J192" s="30" t="s">
        <v>181</v>
      </c>
      <c r="K192" s="64">
        <v>80</v>
      </c>
      <c r="L192" s="143">
        <v>49.478000000000002</v>
      </c>
      <c r="M192" s="64">
        <f t="shared" si="14"/>
        <v>30.521999999999998</v>
      </c>
      <c r="N192" s="54">
        <f t="shared" si="15"/>
        <v>0.618475</v>
      </c>
    </row>
    <row r="193" spans="1:14" ht="15" hidden="1" customHeight="1">
      <c r="A193" s="30" t="s">
        <v>451</v>
      </c>
      <c r="B193" s="30" t="s">
        <v>345</v>
      </c>
      <c r="C193" s="73">
        <v>45348</v>
      </c>
      <c r="D193" s="30">
        <v>495</v>
      </c>
      <c r="E193" s="30" t="s">
        <v>346</v>
      </c>
      <c r="F193" s="30" t="s">
        <v>344</v>
      </c>
      <c r="G193" s="30" t="s">
        <v>452</v>
      </c>
      <c r="H193" s="30">
        <v>955511</v>
      </c>
      <c r="I193" s="30"/>
      <c r="J193" s="30" t="s">
        <v>182</v>
      </c>
      <c r="K193" s="64">
        <v>115</v>
      </c>
      <c r="L193" s="143">
        <v>135.52199999999999</v>
      </c>
      <c r="M193" s="64">
        <f t="shared" si="14"/>
        <v>-20.521999999999991</v>
      </c>
      <c r="N193" s="54">
        <f t="shared" si="15"/>
        <v>1.1784521739130434</v>
      </c>
    </row>
    <row r="194" spans="1:14" ht="15" hidden="1" customHeight="1">
      <c r="A194" s="30" t="s">
        <v>451</v>
      </c>
      <c r="B194" s="30" t="s">
        <v>345</v>
      </c>
      <c r="C194" s="73">
        <v>45348</v>
      </c>
      <c r="D194" s="30">
        <v>495</v>
      </c>
      <c r="E194" s="30" t="s">
        <v>346</v>
      </c>
      <c r="F194" s="30" t="s">
        <v>344</v>
      </c>
      <c r="G194" s="30" t="s">
        <v>453</v>
      </c>
      <c r="H194" s="30">
        <v>700343</v>
      </c>
      <c r="I194" s="30"/>
      <c r="J194" s="30" t="s">
        <v>181</v>
      </c>
      <c r="K194" s="64">
        <v>80</v>
      </c>
      <c r="L194" s="143">
        <v>80</v>
      </c>
      <c r="M194" s="64">
        <f t="shared" si="14"/>
        <v>0</v>
      </c>
      <c r="N194" s="54">
        <f t="shared" si="15"/>
        <v>1</v>
      </c>
    </row>
    <row r="195" spans="1:14" ht="15" hidden="1" customHeight="1">
      <c r="A195" s="30" t="s">
        <v>451</v>
      </c>
      <c r="B195" s="30" t="s">
        <v>345</v>
      </c>
      <c r="C195" s="73">
        <v>45348</v>
      </c>
      <c r="D195" s="30">
        <v>495</v>
      </c>
      <c r="E195" s="30" t="s">
        <v>346</v>
      </c>
      <c r="F195" s="30" t="s">
        <v>344</v>
      </c>
      <c r="G195" s="30" t="s">
        <v>453</v>
      </c>
      <c r="H195" s="30">
        <v>700343</v>
      </c>
      <c r="I195" s="30"/>
      <c r="J195" s="30" t="s">
        <v>182</v>
      </c>
      <c r="K195" s="64">
        <v>115</v>
      </c>
      <c r="L195" s="143">
        <v>115.04</v>
      </c>
      <c r="M195" s="64">
        <f t="shared" si="14"/>
        <v>-4.0000000000006253E-2</v>
      </c>
      <c r="N195" s="54">
        <f t="shared" si="15"/>
        <v>1.0003478260869565</v>
      </c>
    </row>
    <row r="196" spans="1:14" ht="15" hidden="1" customHeight="1">
      <c r="A196" s="30" t="s">
        <v>451</v>
      </c>
      <c r="B196" s="30" t="s">
        <v>345</v>
      </c>
      <c r="C196" s="73">
        <v>45348</v>
      </c>
      <c r="D196" s="30">
        <v>495</v>
      </c>
      <c r="E196" s="30" t="s">
        <v>346</v>
      </c>
      <c r="F196" s="30" t="s">
        <v>344</v>
      </c>
      <c r="G196" s="30" t="s">
        <v>454</v>
      </c>
      <c r="H196" s="30">
        <v>967906</v>
      </c>
      <c r="I196" s="30"/>
      <c r="J196" s="30" t="s">
        <v>181</v>
      </c>
      <c r="K196" s="64">
        <v>80</v>
      </c>
      <c r="L196" s="143">
        <v>67.195999999999998</v>
      </c>
      <c r="M196" s="64">
        <f t="shared" si="14"/>
        <v>12.804000000000002</v>
      </c>
      <c r="N196" s="54">
        <f t="shared" si="15"/>
        <v>0.83994999999999997</v>
      </c>
    </row>
    <row r="197" spans="1:14" ht="15" hidden="1" customHeight="1">
      <c r="A197" s="30" t="s">
        <v>451</v>
      </c>
      <c r="B197" s="30" t="s">
        <v>345</v>
      </c>
      <c r="C197" s="73">
        <v>45348</v>
      </c>
      <c r="D197" s="30">
        <v>495</v>
      </c>
      <c r="E197" s="30" t="s">
        <v>346</v>
      </c>
      <c r="F197" s="30" t="s">
        <v>344</v>
      </c>
      <c r="G197" s="30" t="s">
        <v>454</v>
      </c>
      <c r="H197" s="30">
        <v>967906</v>
      </c>
      <c r="I197" s="30"/>
      <c r="J197" s="30" t="s">
        <v>182</v>
      </c>
      <c r="K197" s="64">
        <v>115</v>
      </c>
      <c r="L197" s="143">
        <v>78.489000000000004</v>
      </c>
      <c r="M197" s="64">
        <f t="shared" si="14"/>
        <v>36.510999999999996</v>
      </c>
      <c r="N197" s="54">
        <f t="shared" si="15"/>
        <v>0.68251304347826092</v>
      </c>
    </row>
    <row r="198" spans="1:14" ht="15" hidden="1" customHeight="1">
      <c r="A198" s="30" t="s">
        <v>451</v>
      </c>
      <c r="B198" s="30" t="s">
        <v>345</v>
      </c>
      <c r="C198" s="73">
        <v>45348</v>
      </c>
      <c r="D198" s="30">
        <v>495</v>
      </c>
      <c r="E198" s="30" t="s">
        <v>346</v>
      </c>
      <c r="F198" s="30" t="s">
        <v>344</v>
      </c>
      <c r="G198" s="30" t="s">
        <v>455</v>
      </c>
      <c r="H198" s="30">
        <v>968435</v>
      </c>
      <c r="I198" s="30"/>
      <c r="J198" s="30" t="s">
        <v>181</v>
      </c>
      <c r="K198" s="64">
        <v>80</v>
      </c>
      <c r="L198" s="143">
        <f>69.548+4.666</f>
        <v>74.213999999999999</v>
      </c>
      <c r="M198" s="64">
        <f t="shared" si="14"/>
        <v>5.7860000000000014</v>
      </c>
      <c r="N198" s="54">
        <f t="shared" si="15"/>
        <v>0.92767500000000003</v>
      </c>
    </row>
    <row r="199" spans="1:14" ht="15" hidden="1" customHeight="1">
      <c r="A199" s="30" t="s">
        <v>451</v>
      </c>
      <c r="B199" s="30" t="s">
        <v>345</v>
      </c>
      <c r="C199" s="73">
        <v>45348</v>
      </c>
      <c r="D199" s="30">
        <v>495</v>
      </c>
      <c r="E199" s="30" t="s">
        <v>346</v>
      </c>
      <c r="F199" s="30" t="s">
        <v>344</v>
      </c>
      <c r="G199" s="30" t="s">
        <v>455</v>
      </c>
      <c r="H199" s="30">
        <v>968435</v>
      </c>
      <c r="I199" s="30"/>
      <c r="J199" s="30" t="s">
        <v>182</v>
      </c>
      <c r="K199" s="64">
        <v>115</v>
      </c>
      <c r="L199" s="143">
        <v>113.036</v>
      </c>
      <c r="M199" s="64">
        <f t="shared" si="14"/>
        <v>1.9639999999999986</v>
      </c>
      <c r="N199" s="54">
        <f t="shared" si="15"/>
        <v>0.98292173913043479</v>
      </c>
    </row>
    <row r="200" spans="1:14" ht="15" hidden="1" customHeight="1">
      <c r="A200" s="30" t="s">
        <v>451</v>
      </c>
      <c r="B200" s="30" t="s">
        <v>345</v>
      </c>
      <c r="C200" s="73">
        <v>45348</v>
      </c>
      <c r="D200" s="30">
        <v>495</v>
      </c>
      <c r="E200" s="30" t="s">
        <v>346</v>
      </c>
      <c r="F200" s="30" t="s">
        <v>344</v>
      </c>
      <c r="G200" s="30" t="s">
        <v>456</v>
      </c>
      <c r="H200" s="30">
        <v>958069</v>
      </c>
      <c r="I200" s="30"/>
      <c r="J200" s="30" t="s">
        <v>181</v>
      </c>
      <c r="K200" s="64">
        <v>80</v>
      </c>
      <c r="L200" s="143"/>
      <c r="M200" s="64">
        <f t="shared" si="14"/>
        <v>80</v>
      </c>
      <c r="N200" s="54">
        <f t="shared" si="15"/>
        <v>0</v>
      </c>
    </row>
    <row r="201" spans="1:14" ht="15" hidden="1" customHeight="1">
      <c r="A201" s="30" t="s">
        <v>451</v>
      </c>
      <c r="B201" s="30" t="s">
        <v>345</v>
      </c>
      <c r="C201" s="73">
        <v>45348</v>
      </c>
      <c r="D201" s="30">
        <v>495</v>
      </c>
      <c r="E201" s="30" t="s">
        <v>346</v>
      </c>
      <c r="F201" s="30" t="s">
        <v>344</v>
      </c>
      <c r="G201" s="30" t="s">
        <v>456</v>
      </c>
      <c r="H201" s="30">
        <v>958069</v>
      </c>
      <c r="I201" s="30"/>
      <c r="J201" s="30" t="s">
        <v>182</v>
      </c>
      <c r="K201" s="64">
        <v>115</v>
      </c>
      <c r="L201" s="143"/>
      <c r="M201" s="64">
        <f t="shared" si="14"/>
        <v>115</v>
      </c>
      <c r="N201" s="54">
        <f t="shared" si="15"/>
        <v>0</v>
      </c>
    </row>
    <row r="202" spans="1:14" ht="15" hidden="1" customHeight="1">
      <c r="A202" s="30" t="s">
        <v>451</v>
      </c>
      <c r="B202" s="30" t="s">
        <v>345</v>
      </c>
      <c r="C202" s="73">
        <v>45348</v>
      </c>
      <c r="D202" s="30">
        <v>495</v>
      </c>
      <c r="E202" s="30" t="s">
        <v>346</v>
      </c>
      <c r="F202" s="30" t="s">
        <v>344</v>
      </c>
      <c r="G202" s="30" t="s">
        <v>679</v>
      </c>
      <c r="H202" s="30">
        <v>965369</v>
      </c>
      <c r="I202" s="30"/>
      <c r="J202" s="30" t="s">
        <v>181</v>
      </c>
      <c r="K202" s="64">
        <v>80</v>
      </c>
      <c r="L202" s="143"/>
      <c r="M202" s="64">
        <f t="shared" si="14"/>
        <v>80</v>
      </c>
      <c r="N202" s="54">
        <f t="shared" si="15"/>
        <v>0</v>
      </c>
    </row>
    <row r="203" spans="1:14" ht="15" hidden="1" customHeight="1">
      <c r="A203" s="30" t="s">
        <v>451</v>
      </c>
      <c r="B203" s="30" t="s">
        <v>345</v>
      </c>
      <c r="C203" s="73">
        <v>45348</v>
      </c>
      <c r="D203" s="153">
        <v>495</v>
      </c>
      <c r="E203" s="30" t="s">
        <v>346</v>
      </c>
      <c r="F203" s="30" t="s">
        <v>344</v>
      </c>
      <c r="G203" s="153" t="s">
        <v>679</v>
      </c>
      <c r="H203" s="152">
        <v>965369</v>
      </c>
      <c r="I203" s="30"/>
      <c r="J203" s="30" t="s">
        <v>182</v>
      </c>
      <c r="K203" s="64">
        <v>115</v>
      </c>
      <c r="L203" s="143"/>
      <c r="M203" s="64">
        <f t="shared" si="14"/>
        <v>115</v>
      </c>
      <c r="N203" s="54">
        <f t="shared" si="15"/>
        <v>0</v>
      </c>
    </row>
    <row r="204" spans="1:14" ht="15" hidden="1" customHeight="1">
      <c r="A204" s="30" t="s">
        <v>451</v>
      </c>
      <c r="B204" s="30" t="s">
        <v>345</v>
      </c>
      <c r="C204" s="73">
        <v>45348</v>
      </c>
      <c r="D204" s="30">
        <v>495</v>
      </c>
      <c r="E204" s="30" t="s">
        <v>346</v>
      </c>
      <c r="F204" s="30" t="s">
        <v>344</v>
      </c>
      <c r="G204" s="30" t="s">
        <v>457</v>
      </c>
      <c r="H204" s="30">
        <v>700493</v>
      </c>
      <c r="I204" s="30"/>
      <c r="J204" s="30" t="s">
        <v>181</v>
      </c>
      <c r="K204" s="64">
        <v>80</v>
      </c>
      <c r="L204" s="143">
        <v>83.745000000000005</v>
      </c>
      <c r="M204" s="64">
        <f t="shared" si="14"/>
        <v>-3.7450000000000045</v>
      </c>
      <c r="N204" s="54">
        <f t="shared" si="15"/>
        <v>1.0468125000000001</v>
      </c>
    </row>
    <row r="205" spans="1:14" ht="15" hidden="1" customHeight="1">
      <c r="A205" s="30" t="s">
        <v>451</v>
      </c>
      <c r="B205" s="30" t="s">
        <v>345</v>
      </c>
      <c r="C205" s="73">
        <v>45348</v>
      </c>
      <c r="D205" s="30">
        <v>495</v>
      </c>
      <c r="E205" s="30" t="s">
        <v>346</v>
      </c>
      <c r="F205" s="30" t="s">
        <v>344</v>
      </c>
      <c r="G205" s="30" t="s">
        <v>457</v>
      </c>
      <c r="H205" s="30">
        <v>700493</v>
      </c>
      <c r="I205" s="30"/>
      <c r="J205" s="30" t="s">
        <v>182</v>
      </c>
      <c r="K205" s="64">
        <v>115</v>
      </c>
      <c r="L205" s="143">
        <v>18.350000000000001</v>
      </c>
      <c r="M205" s="64">
        <f t="shared" si="14"/>
        <v>96.65</v>
      </c>
      <c r="N205" s="54">
        <f t="shared" si="15"/>
        <v>0.15956521739130436</v>
      </c>
    </row>
    <row r="206" spans="1:14" ht="15" hidden="1" customHeight="1">
      <c r="A206" s="30" t="s">
        <v>451</v>
      </c>
      <c r="B206" s="30" t="s">
        <v>345</v>
      </c>
      <c r="C206" s="73">
        <v>45348</v>
      </c>
      <c r="D206" s="30">
        <v>496</v>
      </c>
      <c r="E206" s="30" t="s">
        <v>346</v>
      </c>
      <c r="F206" s="30" t="s">
        <v>344</v>
      </c>
      <c r="G206" s="30" t="s">
        <v>458</v>
      </c>
      <c r="H206" s="30">
        <v>700812</v>
      </c>
      <c r="I206" s="30"/>
      <c r="J206" s="30" t="s">
        <v>181</v>
      </c>
      <c r="K206" s="64">
        <v>45</v>
      </c>
      <c r="L206" s="143">
        <v>45</v>
      </c>
      <c r="M206" s="64">
        <f t="shared" si="14"/>
        <v>0</v>
      </c>
      <c r="N206" s="54">
        <f t="shared" si="15"/>
        <v>1</v>
      </c>
    </row>
    <row r="207" spans="1:14" ht="15" hidden="1" customHeight="1">
      <c r="A207" s="30" t="s">
        <v>451</v>
      </c>
      <c r="B207" s="30" t="s">
        <v>345</v>
      </c>
      <c r="C207" s="73">
        <v>45348</v>
      </c>
      <c r="D207" s="30">
        <v>496</v>
      </c>
      <c r="E207" s="30" t="s">
        <v>346</v>
      </c>
      <c r="F207" s="30" t="s">
        <v>344</v>
      </c>
      <c r="G207" s="30" t="s">
        <v>458</v>
      </c>
      <c r="H207" s="30">
        <v>700812</v>
      </c>
      <c r="I207" s="30"/>
      <c r="J207" s="30" t="s">
        <v>182</v>
      </c>
      <c r="K207" s="64">
        <v>65</v>
      </c>
      <c r="L207" s="143">
        <v>65</v>
      </c>
      <c r="M207" s="64">
        <f t="shared" si="14"/>
        <v>0</v>
      </c>
      <c r="N207" s="54">
        <f t="shared" si="15"/>
        <v>1</v>
      </c>
    </row>
    <row r="208" spans="1:14" ht="15" hidden="1" customHeight="1">
      <c r="A208" s="30" t="s">
        <v>451</v>
      </c>
      <c r="B208" s="30" t="s">
        <v>345</v>
      </c>
      <c r="C208" s="73">
        <v>45348</v>
      </c>
      <c r="D208" s="30">
        <v>496</v>
      </c>
      <c r="E208" s="30" t="s">
        <v>346</v>
      </c>
      <c r="F208" s="30" t="s">
        <v>344</v>
      </c>
      <c r="G208" s="30" t="s">
        <v>459</v>
      </c>
      <c r="H208" s="30">
        <v>955397</v>
      </c>
      <c r="I208" s="30"/>
      <c r="J208" s="30" t="s">
        <v>181</v>
      </c>
      <c r="K208" s="64">
        <v>45</v>
      </c>
      <c r="L208" s="143">
        <v>16.609000000000002</v>
      </c>
      <c r="M208" s="64">
        <f t="shared" si="14"/>
        <v>28.390999999999998</v>
      </c>
      <c r="N208" s="54">
        <f t="shared" si="15"/>
        <v>0.36908888888888891</v>
      </c>
    </row>
    <row r="209" spans="1:14" ht="15" hidden="1" customHeight="1">
      <c r="A209" s="30" t="s">
        <v>451</v>
      </c>
      <c r="B209" s="30" t="s">
        <v>345</v>
      </c>
      <c r="C209" s="73">
        <v>45348</v>
      </c>
      <c r="D209" s="30">
        <v>496</v>
      </c>
      <c r="E209" s="30" t="s">
        <v>346</v>
      </c>
      <c r="F209" s="30" t="s">
        <v>344</v>
      </c>
      <c r="G209" s="30" t="s">
        <v>459</v>
      </c>
      <c r="H209" s="30">
        <v>955397</v>
      </c>
      <c r="I209" s="30"/>
      <c r="J209" s="30" t="s">
        <v>182</v>
      </c>
      <c r="K209" s="64">
        <v>65</v>
      </c>
      <c r="L209" s="143">
        <v>52.201000000000001</v>
      </c>
      <c r="M209" s="64">
        <f t="shared" si="14"/>
        <v>12.798999999999999</v>
      </c>
      <c r="N209" s="54">
        <f t="shared" si="15"/>
        <v>0.80309230769230766</v>
      </c>
    </row>
    <row r="210" spans="1:14" ht="15" hidden="1" customHeight="1">
      <c r="A210" s="30" t="s">
        <v>451</v>
      </c>
      <c r="B210" s="30" t="s">
        <v>345</v>
      </c>
      <c r="C210" s="73">
        <v>45348</v>
      </c>
      <c r="D210" s="30">
        <v>496</v>
      </c>
      <c r="E210" s="30" t="s">
        <v>346</v>
      </c>
      <c r="F210" s="30" t="s">
        <v>344</v>
      </c>
      <c r="G210" s="30" t="s">
        <v>460</v>
      </c>
      <c r="H210" s="30">
        <v>968332</v>
      </c>
      <c r="I210" s="30"/>
      <c r="J210" s="30" t="s">
        <v>181</v>
      </c>
      <c r="K210" s="64">
        <v>45</v>
      </c>
      <c r="L210" s="143">
        <v>45</v>
      </c>
      <c r="M210" s="64">
        <f t="shared" si="14"/>
        <v>0</v>
      </c>
      <c r="N210" s="54">
        <f t="shared" si="15"/>
        <v>1</v>
      </c>
    </row>
    <row r="211" spans="1:14" ht="15" hidden="1" customHeight="1">
      <c r="A211" s="30" t="s">
        <v>451</v>
      </c>
      <c r="B211" s="30" t="s">
        <v>345</v>
      </c>
      <c r="C211" s="73">
        <v>45348</v>
      </c>
      <c r="D211" s="30">
        <v>496</v>
      </c>
      <c r="E211" s="30" t="s">
        <v>346</v>
      </c>
      <c r="F211" s="30" t="s">
        <v>344</v>
      </c>
      <c r="G211" s="30" t="s">
        <v>460</v>
      </c>
      <c r="H211" s="30">
        <v>968332</v>
      </c>
      <c r="I211" s="30"/>
      <c r="J211" s="30" t="s">
        <v>182</v>
      </c>
      <c r="K211" s="64">
        <v>65</v>
      </c>
      <c r="L211" s="143">
        <v>65</v>
      </c>
      <c r="M211" s="64">
        <f t="shared" si="14"/>
        <v>0</v>
      </c>
      <c r="N211" s="54">
        <f t="shared" si="15"/>
        <v>1</v>
      </c>
    </row>
    <row r="212" spans="1:14" ht="15" hidden="1" customHeight="1">
      <c r="A212" s="30" t="s">
        <v>451</v>
      </c>
      <c r="B212" s="30" t="s">
        <v>345</v>
      </c>
      <c r="C212" s="73">
        <v>45348</v>
      </c>
      <c r="D212" s="30">
        <v>496</v>
      </c>
      <c r="E212" s="30" t="s">
        <v>346</v>
      </c>
      <c r="F212" s="30" t="s">
        <v>344</v>
      </c>
      <c r="G212" s="30" t="s">
        <v>461</v>
      </c>
      <c r="H212" s="30">
        <v>966049</v>
      </c>
      <c r="I212" s="30"/>
      <c r="J212" s="30" t="s">
        <v>181</v>
      </c>
      <c r="K212" s="64">
        <v>45</v>
      </c>
      <c r="L212" s="143">
        <v>44.100999999999999</v>
      </c>
      <c r="M212" s="64">
        <f t="shared" si="14"/>
        <v>0.89900000000000091</v>
      </c>
      <c r="N212" s="54">
        <f t="shared" si="15"/>
        <v>0.98002222222222224</v>
      </c>
    </row>
    <row r="213" spans="1:14" ht="15" hidden="1" customHeight="1">
      <c r="A213" s="30" t="s">
        <v>451</v>
      </c>
      <c r="B213" s="30" t="s">
        <v>345</v>
      </c>
      <c r="C213" s="73">
        <v>45348</v>
      </c>
      <c r="D213" s="30">
        <v>496</v>
      </c>
      <c r="E213" s="30" t="s">
        <v>346</v>
      </c>
      <c r="F213" s="30" t="s">
        <v>344</v>
      </c>
      <c r="G213" s="30" t="s">
        <v>461</v>
      </c>
      <c r="H213" s="30">
        <v>966049</v>
      </c>
      <c r="I213" s="30"/>
      <c r="J213" s="30" t="s">
        <v>182</v>
      </c>
      <c r="K213" s="64">
        <v>65</v>
      </c>
      <c r="L213" s="143">
        <v>65</v>
      </c>
      <c r="M213" s="64">
        <f t="shared" si="14"/>
        <v>0</v>
      </c>
      <c r="N213" s="54">
        <f t="shared" si="15"/>
        <v>1</v>
      </c>
    </row>
    <row r="214" spans="1:14" ht="15" hidden="1" customHeight="1">
      <c r="A214" s="30" t="s">
        <v>451</v>
      </c>
      <c r="B214" s="30" t="s">
        <v>345</v>
      </c>
      <c r="C214" s="73">
        <v>45348</v>
      </c>
      <c r="D214" s="30">
        <v>496</v>
      </c>
      <c r="E214" s="30" t="s">
        <v>346</v>
      </c>
      <c r="F214" s="30" t="s">
        <v>344</v>
      </c>
      <c r="G214" s="30" t="s">
        <v>462</v>
      </c>
      <c r="H214" s="30">
        <v>701852</v>
      </c>
      <c r="I214" s="30"/>
      <c r="J214" s="30" t="s">
        <v>181</v>
      </c>
      <c r="K214" s="64">
        <v>45</v>
      </c>
      <c r="L214" s="143">
        <v>34.219000000000001</v>
      </c>
      <c r="M214" s="64">
        <f t="shared" si="14"/>
        <v>10.780999999999999</v>
      </c>
      <c r="N214" s="54">
        <f t="shared" si="15"/>
        <v>0.76042222222222222</v>
      </c>
    </row>
    <row r="215" spans="1:14" ht="15" hidden="1" customHeight="1">
      <c r="A215" s="30" t="s">
        <v>451</v>
      </c>
      <c r="B215" s="30" t="s">
        <v>345</v>
      </c>
      <c r="C215" s="73">
        <v>45348</v>
      </c>
      <c r="D215" s="30">
        <v>496</v>
      </c>
      <c r="E215" s="30" t="s">
        <v>346</v>
      </c>
      <c r="F215" s="30" t="s">
        <v>344</v>
      </c>
      <c r="G215" s="30" t="s">
        <v>462</v>
      </c>
      <c r="H215" s="30">
        <v>701852</v>
      </c>
      <c r="I215" s="30"/>
      <c r="J215" s="30" t="s">
        <v>182</v>
      </c>
      <c r="K215" s="64">
        <v>65</v>
      </c>
      <c r="L215" s="143">
        <v>75.781000000000006</v>
      </c>
      <c r="M215" s="64">
        <f t="shared" si="14"/>
        <v>-10.781000000000006</v>
      </c>
      <c r="N215" s="54">
        <f t="shared" si="15"/>
        <v>1.1658615384615385</v>
      </c>
    </row>
    <row r="216" spans="1:14" ht="15" hidden="1" customHeight="1">
      <c r="A216" s="30" t="s">
        <v>451</v>
      </c>
      <c r="B216" s="30" t="s">
        <v>345</v>
      </c>
      <c r="C216" s="73">
        <v>45348</v>
      </c>
      <c r="D216" s="30">
        <v>496</v>
      </c>
      <c r="E216" s="30" t="s">
        <v>346</v>
      </c>
      <c r="F216" s="30" t="s">
        <v>344</v>
      </c>
      <c r="G216" s="30" t="s">
        <v>463</v>
      </c>
      <c r="H216" s="30">
        <v>967659</v>
      </c>
      <c r="I216" s="30"/>
      <c r="J216" s="30" t="s">
        <v>181</v>
      </c>
      <c r="K216" s="64">
        <v>45</v>
      </c>
      <c r="L216" s="143">
        <v>40.509</v>
      </c>
      <c r="M216" s="64">
        <f t="shared" si="14"/>
        <v>4.4909999999999997</v>
      </c>
      <c r="N216" s="54">
        <f t="shared" si="15"/>
        <v>0.9002</v>
      </c>
    </row>
    <row r="217" spans="1:14" ht="15" hidden="1" customHeight="1">
      <c r="A217" s="30" t="s">
        <v>451</v>
      </c>
      <c r="B217" s="30" t="s">
        <v>345</v>
      </c>
      <c r="C217" s="73">
        <v>45348</v>
      </c>
      <c r="D217" s="30">
        <v>496</v>
      </c>
      <c r="E217" s="30" t="s">
        <v>346</v>
      </c>
      <c r="F217" s="30" t="s">
        <v>344</v>
      </c>
      <c r="G217" s="30" t="s">
        <v>463</v>
      </c>
      <c r="H217" s="30">
        <v>967659</v>
      </c>
      <c r="I217" s="30"/>
      <c r="J217" s="30" t="s">
        <v>182</v>
      </c>
      <c r="K217" s="64">
        <v>65</v>
      </c>
      <c r="L217" s="143">
        <v>39.761000000000003</v>
      </c>
      <c r="M217" s="64">
        <f t="shared" si="14"/>
        <v>25.238999999999997</v>
      </c>
      <c r="N217" s="54">
        <f t="shared" si="15"/>
        <v>0.6117076923076924</v>
      </c>
    </row>
    <row r="218" spans="1:14" ht="15" hidden="1" customHeight="1">
      <c r="A218" s="30" t="s">
        <v>451</v>
      </c>
      <c r="B218" s="30" t="s">
        <v>345</v>
      </c>
      <c r="C218" s="73">
        <v>45348</v>
      </c>
      <c r="D218" s="30">
        <v>496</v>
      </c>
      <c r="E218" s="30" t="s">
        <v>346</v>
      </c>
      <c r="F218" s="30" t="s">
        <v>344</v>
      </c>
      <c r="G218" s="30" t="s">
        <v>464</v>
      </c>
      <c r="H218" s="30">
        <v>967851</v>
      </c>
      <c r="I218" s="30"/>
      <c r="J218" s="30" t="s">
        <v>181</v>
      </c>
      <c r="K218" s="64">
        <v>45</v>
      </c>
      <c r="L218" s="143">
        <v>35.917000000000002</v>
      </c>
      <c r="M218" s="64">
        <f t="shared" ref="M218:M249" si="16">K218-L218</f>
        <v>9.0829999999999984</v>
      </c>
      <c r="N218" s="54">
        <f t="shared" ref="N218:N251" si="17">L218/K218</f>
        <v>0.79815555555555562</v>
      </c>
    </row>
    <row r="219" spans="1:14" ht="15" hidden="1" customHeight="1">
      <c r="A219" s="30" t="s">
        <v>451</v>
      </c>
      <c r="B219" s="30" t="s">
        <v>345</v>
      </c>
      <c r="C219" s="73">
        <v>45348</v>
      </c>
      <c r="D219" s="30">
        <v>496</v>
      </c>
      <c r="E219" s="30" t="s">
        <v>346</v>
      </c>
      <c r="F219" s="30" t="s">
        <v>344</v>
      </c>
      <c r="G219" s="30" t="s">
        <v>464</v>
      </c>
      <c r="H219" s="30">
        <v>967851</v>
      </c>
      <c r="I219" s="30"/>
      <c r="J219" s="30" t="s">
        <v>182</v>
      </c>
      <c r="K219" s="64">
        <v>65</v>
      </c>
      <c r="L219" s="143">
        <v>65</v>
      </c>
      <c r="M219" s="64">
        <f t="shared" si="16"/>
        <v>0</v>
      </c>
      <c r="N219" s="54">
        <f t="shared" si="17"/>
        <v>1</v>
      </c>
    </row>
    <row r="220" spans="1:14" ht="15" hidden="1" customHeight="1">
      <c r="A220" s="30" t="s">
        <v>451</v>
      </c>
      <c r="B220" s="30" t="s">
        <v>345</v>
      </c>
      <c r="C220" s="73">
        <v>45348</v>
      </c>
      <c r="D220" s="30">
        <v>496</v>
      </c>
      <c r="E220" s="30" t="s">
        <v>346</v>
      </c>
      <c r="F220" s="30" t="s">
        <v>344</v>
      </c>
      <c r="G220" s="30" t="s">
        <v>465</v>
      </c>
      <c r="H220" s="30">
        <v>702142</v>
      </c>
      <c r="I220" s="30"/>
      <c r="J220" s="30" t="s">
        <v>181</v>
      </c>
      <c r="K220" s="64">
        <v>45</v>
      </c>
      <c r="L220" s="143">
        <v>0.40400000000000003</v>
      </c>
      <c r="M220" s="64">
        <f t="shared" si="16"/>
        <v>44.595999999999997</v>
      </c>
      <c r="N220" s="54">
        <f t="shared" si="17"/>
        <v>8.977777777777779E-3</v>
      </c>
    </row>
    <row r="221" spans="1:14" ht="15" hidden="1" customHeight="1">
      <c r="A221" s="30" t="s">
        <v>451</v>
      </c>
      <c r="B221" s="30" t="s">
        <v>345</v>
      </c>
      <c r="C221" s="73">
        <v>45348</v>
      </c>
      <c r="D221" s="30">
        <v>496</v>
      </c>
      <c r="E221" s="30" t="s">
        <v>346</v>
      </c>
      <c r="F221" s="30" t="s">
        <v>344</v>
      </c>
      <c r="G221" s="30" t="s">
        <v>465</v>
      </c>
      <c r="H221" s="30">
        <v>702142</v>
      </c>
      <c r="I221" s="30"/>
      <c r="J221" s="30" t="s">
        <v>182</v>
      </c>
      <c r="K221" s="64">
        <v>65</v>
      </c>
      <c r="L221" s="143">
        <v>0.61299999999999999</v>
      </c>
      <c r="M221" s="64">
        <f t="shared" si="16"/>
        <v>64.387</v>
      </c>
      <c r="N221" s="54">
        <f t="shared" si="17"/>
        <v>9.4307692307692304E-3</v>
      </c>
    </row>
    <row r="222" spans="1:14" ht="15" hidden="1" customHeight="1">
      <c r="A222" s="30" t="s">
        <v>451</v>
      </c>
      <c r="B222" s="30" t="s">
        <v>345</v>
      </c>
      <c r="C222" s="73">
        <v>45348</v>
      </c>
      <c r="D222" s="30">
        <v>496</v>
      </c>
      <c r="E222" s="30" t="s">
        <v>346</v>
      </c>
      <c r="F222" s="30" t="s">
        <v>344</v>
      </c>
      <c r="G222" s="30" t="s">
        <v>466</v>
      </c>
      <c r="H222" s="30">
        <v>967650</v>
      </c>
      <c r="I222" s="30"/>
      <c r="J222" s="30" t="s">
        <v>181</v>
      </c>
      <c r="K222" s="64">
        <v>45</v>
      </c>
      <c r="L222" s="143">
        <v>26.643999999999998</v>
      </c>
      <c r="M222" s="64">
        <f t="shared" si="16"/>
        <v>18.356000000000002</v>
      </c>
      <c r="N222" s="54">
        <f t="shared" si="17"/>
        <v>0.59208888888888889</v>
      </c>
    </row>
    <row r="223" spans="1:14" ht="15" hidden="1" customHeight="1">
      <c r="A223" s="30" t="s">
        <v>451</v>
      </c>
      <c r="B223" s="30" t="s">
        <v>345</v>
      </c>
      <c r="C223" s="73">
        <v>45348</v>
      </c>
      <c r="D223" s="30">
        <v>496</v>
      </c>
      <c r="E223" s="30" t="s">
        <v>346</v>
      </c>
      <c r="F223" s="30" t="s">
        <v>344</v>
      </c>
      <c r="G223" s="30" t="s">
        <v>466</v>
      </c>
      <c r="H223" s="30">
        <v>967650</v>
      </c>
      <c r="I223" s="30"/>
      <c r="J223" s="30" t="s">
        <v>182</v>
      </c>
      <c r="K223" s="64">
        <v>65</v>
      </c>
      <c r="L223" s="143">
        <v>74.007000000000005</v>
      </c>
      <c r="M223" s="64">
        <f t="shared" si="16"/>
        <v>-9.007000000000005</v>
      </c>
      <c r="N223" s="54">
        <f t="shared" si="17"/>
        <v>1.1385692307692308</v>
      </c>
    </row>
    <row r="224" spans="1:14" ht="15" hidden="1" customHeight="1">
      <c r="A224" s="30" t="s">
        <v>451</v>
      </c>
      <c r="B224" s="30" t="s">
        <v>345</v>
      </c>
      <c r="C224" s="73">
        <v>45348</v>
      </c>
      <c r="D224" s="30">
        <v>496</v>
      </c>
      <c r="E224" s="30" t="s">
        <v>346</v>
      </c>
      <c r="F224" s="30" t="s">
        <v>344</v>
      </c>
      <c r="G224" s="30" t="s">
        <v>467</v>
      </c>
      <c r="H224" s="30">
        <v>968869</v>
      </c>
      <c r="I224" s="30"/>
      <c r="J224" s="30" t="s">
        <v>181</v>
      </c>
      <c r="K224" s="64">
        <v>45</v>
      </c>
      <c r="L224" s="143">
        <v>60.924999999999997</v>
      </c>
      <c r="M224" s="64">
        <f t="shared" si="16"/>
        <v>-15.924999999999997</v>
      </c>
      <c r="N224" s="54">
        <f t="shared" si="17"/>
        <v>1.3538888888888889</v>
      </c>
    </row>
    <row r="225" spans="1:14" ht="15" hidden="1" customHeight="1">
      <c r="A225" s="30" t="s">
        <v>451</v>
      </c>
      <c r="B225" s="30" t="s">
        <v>345</v>
      </c>
      <c r="C225" s="73">
        <v>45348</v>
      </c>
      <c r="D225" s="30">
        <v>496</v>
      </c>
      <c r="E225" s="30" t="s">
        <v>346</v>
      </c>
      <c r="F225" s="30" t="s">
        <v>344</v>
      </c>
      <c r="G225" s="30" t="s">
        <v>467</v>
      </c>
      <c r="H225" s="30">
        <v>968869</v>
      </c>
      <c r="I225" s="30"/>
      <c r="J225" s="30" t="s">
        <v>182</v>
      </c>
      <c r="K225" s="64">
        <v>65</v>
      </c>
      <c r="L225" s="143">
        <v>49.075000000000003</v>
      </c>
      <c r="M225" s="64">
        <f t="shared" si="16"/>
        <v>15.924999999999997</v>
      </c>
      <c r="N225" s="54">
        <f t="shared" si="17"/>
        <v>0.755</v>
      </c>
    </row>
    <row r="226" spans="1:14" ht="15" hidden="1" customHeight="1">
      <c r="A226" s="30" t="s">
        <v>451</v>
      </c>
      <c r="B226" s="30" t="s">
        <v>345</v>
      </c>
      <c r="C226" s="73">
        <v>45348</v>
      </c>
      <c r="D226" s="30">
        <v>496</v>
      </c>
      <c r="E226" s="30" t="s">
        <v>346</v>
      </c>
      <c r="F226" s="30" t="s">
        <v>344</v>
      </c>
      <c r="G226" s="30" t="s">
        <v>468</v>
      </c>
      <c r="H226" s="30">
        <v>700666</v>
      </c>
      <c r="I226" s="30"/>
      <c r="J226" s="30" t="s">
        <v>181</v>
      </c>
      <c r="K226" s="64">
        <v>45</v>
      </c>
      <c r="L226" s="143">
        <v>6.2569999999999997</v>
      </c>
      <c r="M226" s="64">
        <f t="shared" si="16"/>
        <v>38.743000000000002</v>
      </c>
      <c r="N226" s="54">
        <f t="shared" si="17"/>
        <v>0.13904444444444444</v>
      </c>
    </row>
    <row r="227" spans="1:14" ht="15" hidden="1" customHeight="1">
      <c r="A227" s="30" t="s">
        <v>451</v>
      </c>
      <c r="B227" s="30" t="s">
        <v>345</v>
      </c>
      <c r="C227" s="73">
        <v>45348</v>
      </c>
      <c r="D227" s="30">
        <v>496</v>
      </c>
      <c r="E227" s="30" t="s">
        <v>346</v>
      </c>
      <c r="F227" s="30" t="s">
        <v>344</v>
      </c>
      <c r="G227" s="30" t="s">
        <v>468</v>
      </c>
      <c r="H227" s="30">
        <v>700666</v>
      </c>
      <c r="I227" s="30"/>
      <c r="J227" s="30" t="s">
        <v>182</v>
      </c>
      <c r="K227" s="64">
        <v>65</v>
      </c>
      <c r="L227" s="143">
        <v>32.503</v>
      </c>
      <c r="M227" s="64">
        <f t="shared" si="16"/>
        <v>32.497</v>
      </c>
      <c r="N227" s="54">
        <f t="shared" si="17"/>
        <v>0.50004615384615381</v>
      </c>
    </row>
    <row r="228" spans="1:14" ht="15" hidden="1" customHeight="1">
      <c r="A228" s="30" t="s">
        <v>451</v>
      </c>
      <c r="B228" s="30" t="s">
        <v>345</v>
      </c>
      <c r="C228" s="73">
        <v>45348</v>
      </c>
      <c r="D228" s="30">
        <v>496</v>
      </c>
      <c r="E228" s="30" t="s">
        <v>346</v>
      </c>
      <c r="F228" s="30" t="s">
        <v>344</v>
      </c>
      <c r="G228" s="30" t="s">
        <v>469</v>
      </c>
      <c r="H228" s="30">
        <v>962295</v>
      </c>
      <c r="I228" s="30"/>
      <c r="J228" s="30" t="s">
        <v>181</v>
      </c>
      <c r="K228" s="64">
        <v>45</v>
      </c>
      <c r="L228" s="143">
        <v>52.569000000000003</v>
      </c>
      <c r="M228" s="64">
        <f t="shared" si="16"/>
        <v>-7.5690000000000026</v>
      </c>
      <c r="N228" s="54">
        <f t="shared" si="17"/>
        <v>1.1682000000000001</v>
      </c>
    </row>
    <row r="229" spans="1:14" ht="15" hidden="1" customHeight="1">
      <c r="A229" s="30" t="s">
        <v>451</v>
      </c>
      <c r="B229" s="30" t="s">
        <v>345</v>
      </c>
      <c r="C229" s="73">
        <v>45348</v>
      </c>
      <c r="D229" s="30">
        <v>496</v>
      </c>
      <c r="E229" s="30" t="s">
        <v>346</v>
      </c>
      <c r="F229" s="30" t="s">
        <v>344</v>
      </c>
      <c r="G229" s="30" t="s">
        <v>469</v>
      </c>
      <c r="H229" s="30">
        <v>962295</v>
      </c>
      <c r="I229" s="30"/>
      <c r="J229" s="30" t="s">
        <v>182</v>
      </c>
      <c r="K229" s="64">
        <v>65</v>
      </c>
      <c r="L229" s="143">
        <v>57.430999999999997</v>
      </c>
      <c r="M229" s="64">
        <f t="shared" si="16"/>
        <v>7.5690000000000026</v>
      </c>
      <c r="N229" s="54">
        <f t="shared" si="17"/>
        <v>0.88355384615384613</v>
      </c>
    </row>
    <row r="230" spans="1:14" ht="15" hidden="1" customHeight="1">
      <c r="A230" s="30" t="s">
        <v>451</v>
      </c>
      <c r="B230" s="30" t="s">
        <v>345</v>
      </c>
      <c r="C230" s="73">
        <v>45348</v>
      </c>
      <c r="D230" s="30">
        <v>496</v>
      </c>
      <c r="E230" s="30" t="s">
        <v>346</v>
      </c>
      <c r="F230" s="30" t="s">
        <v>344</v>
      </c>
      <c r="G230" s="30" t="s">
        <v>470</v>
      </c>
      <c r="H230" s="30">
        <v>700173</v>
      </c>
      <c r="I230" s="30"/>
      <c r="J230" s="30" t="s">
        <v>181</v>
      </c>
      <c r="K230" s="64">
        <v>40</v>
      </c>
      <c r="L230" s="143">
        <v>12.512</v>
      </c>
      <c r="M230" s="64">
        <f t="shared" si="16"/>
        <v>27.488</v>
      </c>
      <c r="N230" s="54">
        <f t="shared" si="17"/>
        <v>0.31280000000000002</v>
      </c>
    </row>
    <row r="231" spans="1:14" ht="15" hidden="1" customHeight="1">
      <c r="A231" s="30" t="s">
        <v>451</v>
      </c>
      <c r="B231" s="30" t="s">
        <v>345</v>
      </c>
      <c r="C231" s="73">
        <v>45348</v>
      </c>
      <c r="D231" s="30">
        <v>496</v>
      </c>
      <c r="E231" s="30" t="s">
        <v>346</v>
      </c>
      <c r="F231" s="30" t="s">
        <v>344</v>
      </c>
      <c r="G231" s="30" t="s">
        <v>470</v>
      </c>
      <c r="H231" s="30">
        <v>700173</v>
      </c>
      <c r="I231" s="30"/>
      <c r="J231" s="30" t="s">
        <v>182</v>
      </c>
      <c r="K231" s="64">
        <v>60</v>
      </c>
      <c r="L231" s="143">
        <v>76.66</v>
      </c>
      <c r="M231" s="64">
        <f t="shared" si="16"/>
        <v>-16.659999999999997</v>
      </c>
      <c r="N231" s="54">
        <f t="shared" si="17"/>
        <v>1.2776666666666665</v>
      </c>
    </row>
    <row r="232" spans="1:14" ht="15" hidden="1" customHeight="1">
      <c r="A232" s="30" t="s">
        <v>451</v>
      </c>
      <c r="B232" s="30" t="s">
        <v>345</v>
      </c>
      <c r="C232" s="73">
        <v>45348</v>
      </c>
      <c r="D232" s="30">
        <v>496</v>
      </c>
      <c r="E232" s="30" t="s">
        <v>346</v>
      </c>
      <c r="F232" s="30" t="s">
        <v>344</v>
      </c>
      <c r="G232" s="30" t="s">
        <v>471</v>
      </c>
      <c r="H232" s="30">
        <v>960106</v>
      </c>
      <c r="I232" s="30"/>
      <c r="J232" s="30" t="s">
        <v>181</v>
      </c>
      <c r="K232" s="64">
        <v>45</v>
      </c>
      <c r="L232" s="143">
        <v>48.031999999999996</v>
      </c>
      <c r="M232" s="64">
        <f t="shared" si="16"/>
        <v>-3.0319999999999965</v>
      </c>
      <c r="N232" s="54">
        <f t="shared" si="17"/>
        <v>1.0673777777777778</v>
      </c>
    </row>
    <row r="233" spans="1:14" ht="15" hidden="1" customHeight="1">
      <c r="A233" s="30" t="s">
        <v>451</v>
      </c>
      <c r="B233" s="30" t="s">
        <v>345</v>
      </c>
      <c r="C233" s="73">
        <v>45348</v>
      </c>
      <c r="D233" s="30">
        <v>496</v>
      </c>
      <c r="E233" s="30" t="s">
        <v>346</v>
      </c>
      <c r="F233" s="30" t="s">
        <v>344</v>
      </c>
      <c r="G233" s="30" t="s">
        <v>471</v>
      </c>
      <c r="H233" s="30">
        <v>960106</v>
      </c>
      <c r="I233" s="30"/>
      <c r="J233" s="30" t="s">
        <v>182</v>
      </c>
      <c r="K233" s="64">
        <v>65</v>
      </c>
      <c r="L233" s="143">
        <v>49.597000000000001</v>
      </c>
      <c r="M233" s="64">
        <f t="shared" si="16"/>
        <v>15.402999999999999</v>
      </c>
      <c r="N233" s="54">
        <f t="shared" si="17"/>
        <v>0.76303076923076929</v>
      </c>
    </row>
    <row r="234" spans="1:14" ht="15" hidden="1" customHeight="1">
      <c r="A234" s="30" t="s">
        <v>451</v>
      </c>
      <c r="B234" s="30" t="s">
        <v>345</v>
      </c>
      <c r="C234" s="73">
        <v>45348</v>
      </c>
      <c r="D234" s="30">
        <v>496</v>
      </c>
      <c r="E234" s="30" t="s">
        <v>346</v>
      </c>
      <c r="F234" s="30" t="s">
        <v>344</v>
      </c>
      <c r="G234" s="30" t="s">
        <v>472</v>
      </c>
      <c r="H234" s="30">
        <v>700572</v>
      </c>
      <c r="I234" s="30"/>
      <c r="J234" s="30" t="s">
        <v>181</v>
      </c>
      <c r="K234" s="64">
        <v>45</v>
      </c>
      <c r="L234" s="143">
        <v>40.000999999999998</v>
      </c>
      <c r="M234" s="64">
        <f t="shared" si="16"/>
        <v>4.9990000000000023</v>
      </c>
      <c r="N234" s="54">
        <f t="shared" si="17"/>
        <v>0.8889111111111111</v>
      </c>
    </row>
    <row r="235" spans="1:14" ht="15" hidden="1" customHeight="1">
      <c r="A235" s="30" t="s">
        <v>451</v>
      </c>
      <c r="B235" s="30" t="s">
        <v>345</v>
      </c>
      <c r="C235" s="73">
        <v>45348</v>
      </c>
      <c r="D235" s="30">
        <v>496</v>
      </c>
      <c r="E235" s="30" t="s">
        <v>346</v>
      </c>
      <c r="F235" s="30" t="s">
        <v>344</v>
      </c>
      <c r="G235" s="30" t="s">
        <v>479</v>
      </c>
      <c r="H235" s="30">
        <v>700572</v>
      </c>
      <c r="I235" s="30"/>
      <c r="J235" s="30" t="s">
        <v>182</v>
      </c>
      <c r="K235" s="64">
        <v>65</v>
      </c>
      <c r="L235" s="143">
        <v>64.853999999999999</v>
      </c>
      <c r="M235" s="64">
        <f t="shared" si="16"/>
        <v>0.1460000000000008</v>
      </c>
      <c r="N235" s="54">
        <f t="shared" si="17"/>
        <v>0.9977538461538461</v>
      </c>
    </row>
    <row r="236" spans="1:14" ht="15" hidden="1" customHeight="1">
      <c r="A236" s="30" t="s">
        <v>451</v>
      </c>
      <c r="B236" s="30" t="s">
        <v>345</v>
      </c>
      <c r="C236" s="73">
        <v>45348</v>
      </c>
      <c r="D236" s="30">
        <v>496</v>
      </c>
      <c r="E236" s="30" t="s">
        <v>346</v>
      </c>
      <c r="F236" s="30" t="s">
        <v>344</v>
      </c>
      <c r="G236" s="30" t="s">
        <v>473</v>
      </c>
      <c r="H236" s="30">
        <v>700049</v>
      </c>
      <c r="I236" s="30"/>
      <c r="J236" s="30" t="s">
        <v>181</v>
      </c>
      <c r="K236" s="64">
        <v>45</v>
      </c>
      <c r="L236" s="143">
        <v>44.250999999999998</v>
      </c>
      <c r="M236" s="64">
        <f t="shared" si="16"/>
        <v>0.74900000000000233</v>
      </c>
      <c r="N236" s="54">
        <f t="shared" si="17"/>
        <v>0.98335555555555554</v>
      </c>
    </row>
    <row r="237" spans="1:14" ht="15" hidden="1" customHeight="1">
      <c r="A237" s="30" t="s">
        <v>451</v>
      </c>
      <c r="B237" s="30" t="s">
        <v>345</v>
      </c>
      <c r="C237" s="73">
        <v>45348</v>
      </c>
      <c r="D237" s="30">
        <v>496</v>
      </c>
      <c r="E237" s="30" t="s">
        <v>346</v>
      </c>
      <c r="F237" s="30" t="s">
        <v>344</v>
      </c>
      <c r="G237" s="30" t="s">
        <v>473</v>
      </c>
      <c r="H237" s="30">
        <v>700049</v>
      </c>
      <c r="I237" s="30"/>
      <c r="J237" s="30" t="s">
        <v>182</v>
      </c>
      <c r="K237" s="64">
        <v>65</v>
      </c>
      <c r="L237" s="143">
        <v>65</v>
      </c>
      <c r="M237" s="64">
        <f t="shared" si="16"/>
        <v>0</v>
      </c>
      <c r="N237" s="54">
        <f t="shared" si="17"/>
        <v>1</v>
      </c>
    </row>
    <row r="238" spans="1:14" ht="15" hidden="1" customHeight="1">
      <c r="A238" s="30" t="s">
        <v>451</v>
      </c>
      <c r="B238" s="30" t="s">
        <v>345</v>
      </c>
      <c r="C238" s="73">
        <v>45348</v>
      </c>
      <c r="D238" s="30">
        <v>496</v>
      </c>
      <c r="E238" s="30" t="s">
        <v>346</v>
      </c>
      <c r="F238" s="30" t="s">
        <v>344</v>
      </c>
      <c r="G238" s="30" t="s">
        <v>474</v>
      </c>
      <c r="H238" s="30">
        <v>701405</v>
      </c>
      <c r="I238" s="30"/>
      <c r="J238" s="30" t="s">
        <v>181</v>
      </c>
      <c r="K238" s="64">
        <v>45</v>
      </c>
      <c r="L238" s="143">
        <v>43.140999999999998</v>
      </c>
      <c r="M238" s="64">
        <f t="shared" si="16"/>
        <v>1.8590000000000018</v>
      </c>
      <c r="N238" s="54">
        <f t="shared" si="17"/>
        <v>0.95868888888888881</v>
      </c>
    </row>
    <row r="239" spans="1:14" ht="15" hidden="1" customHeight="1">
      <c r="A239" s="30" t="s">
        <v>451</v>
      </c>
      <c r="B239" s="30" t="s">
        <v>345</v>
      </c>
      <c r="C239" s="73">
        <v>45348</v>
      </c>
      <c r="D239" s="30">
        <v>496</v>
      </c>
      <c r="E239" s="30" t="s">
        <v>346</v>
      </c>
      <c r="F239" s="30" t="s">
        <v>344</v>
      </c>
      <c r="G239" s="30" t="s">
        <v>474</v>
      </c>
      <c r="H239" s="30">
        <v>701405</v>
      </c>
      <c r="I239" s="30"/>
      <c r="J239" s="30" t="s">
        <v>182</v>
      </c>
      <c r="K239" s="64">
        <v>65</v>
      </c>
      <c r="L239" s="143">
        <v>61.308</v>
      </c>
      <c r="M239" s="64">
        <f t="shared" si="16"/>
        <v>3.6920000000000002</v>
      </c>
      <c r="N239" s="54">
        <f t="shared" si="17"/>
        <v>0.94320000000000004</v>
      </c>
    </row>
    <row r="240" spans="1:14" ht="15" hidden="1" customHeight="1">
      <c r="A240" s="30" t="s">
        <v>451</v>
      </c>
      <c r="B240" s="30" t="s">
        <v>345</v>
      </c>
      <c r="C240" s="73">
        <v>45348</v>
      </c>
      <c r="D240" s="30">
        <v>496</v>
      </c>
      <c r="E240" s="30" t="s">
        <v>346</v>
      </c>
      <c r="F240" s="30" t="s">
        <v>344</v>
      </c>
      <c r="G240" s="30" t="s">
        <v>475</v>
      </c>
      <c r="H240" s="30">
        <v>961061</v>
      </c>
      <c r="I240" s="30"/>
      <c r="J240" s="30" t="s">
        <v>181</v>
      </c>
      <c r="K240" s="64">
        <v>45</v>
      </c>
      <c r="L240" s="143">
        <v>45</v>
      </c>
      <c r="M240" s="64">
        <f t="shared" si="16"/>
        <v>0</v>
      </c>
      <c r="N240" s="54">
        <f t="shared" si="17"/>
        <v>1</v>
      </c>
    </row>
    <row r="241" spans="1:14" ht="15" hidden="1" customHeight="1">
      <c r="A241" s="30" t="s">
        <v>451</v>
      </c>
      <c r="B241" s="30" t="s">
        <v>345</v>
      </c>
      <c r="C241" s="73">
        <v>45348</v>
      </c>
      <c r="D241" s="30">
        <v>496</v>
      </c>
      <c r="E241" s="30" t="s">
        <v>346</v>
      </c>
      <c r="F241" s="30" t="s">
        <v>344</v>
      </c>
      <c r="G241" s="30" t="s">
        <v>475</v>
      </c>
      <c r="H241" s="30">
        <v>961061</v>
      </c>
      <c r="I241" s="30"/>
      <c r="J241" s="30" t="s">
        <v>182</v>
      </c>
      <c r="K241" s="64">
        <v>65</v>
      </c>
      <c r="L241" s="143">
        <v>65</v>
      </c>
      <c r="M241" s="64">
        <f t="shared" si="16"/>
        <v>0</v>
      </c>
      <c r="N241" s="54">
        <f t="shared" si="17"/>
        <v>1</v>
      </c>
    </row>
    <row r="242" spans="1:14" ht="15" hidden="1" customHeight="1">
      <c r="A242" s="30" t="s">
        <v>451</v>
      </c>
      <c r="B242" s="30" t="s">
        <v>345</v>
      </c>
      <c r="C242" s="73">
        <v>45348</v>
      </c>
      <c r="D242" s="30">
        <v>496</v>
      </c>
      <c r="E242" s="30" t="s">
        <v>346</v>
      </c>
      <c r="F242" s="30" t="s">
        <v>344</v>
      </c>
      <c r="G242" s="30" t="s">
        <v>476</v>
      </c>
      <c r="H242" s="30">
        <v>955079</v>
      </c>
      <c r="I242" s="30"/>
      <c r="J242" s="30" t="s">
        <v>181</v>
      </c>
      <c r="K242" s="64">
        <v>45</v>
      </c>
      <c r="L242" s="143">
        <v>44.896999999999998</v>
      </c>
      <c r="M242" s="64">
        <f t="shared" si="16"/>
        <v>0.10300000000000153</v>
      </c>
      <c r="N242" s="54">
        <f t="shared" si="17"/>
        <v>0.9977111111111111</v>
      </c>
    </row>
    <row r="243" spans="1:14" ht="15" hidden="1" customHeight="1">
      <c r="A243" s="30" t="s">
        <v>451</v>
      </c>
      <c r="B243" s="30" t="s">
        <v>345</v>
      </c>
      <c r="C243" s="73">
        <v>45348</v>
      </c>
      <c r="D243" s="30">
        <v>496</v>
      </c>
      <c r="E243" s="30" t="s">
        <v>346</v>
      </c>
      <c r="F243" s="30" t="s">
        <v>344</v>
      </c>
      <c r="G243" s="30" t="s">
        <v>476</v>
      </c>
      <c r="H243" s="30">
        <v>955079</v>
      </c>
      <c r="I243" s="30"/>
      <c r="J243" s="30" t="s">
        <v>182</v>
      </c>
      <c r="K243" s="64">
        <v>65</v>
      </c>
      <c r="L243" s="143">
        <v>60.375999999999998</v>
      </c>
      <c r="M243" s="64">
        <f t="shared" si="16"/>
        <v>4.6240000000000023</v>
      </c>
      <c r="N243" s="54">
        <f t="shared" si="17"/>
        <v>0.92886153846153841</v>
      </c>
    </row>
    <row r="244" spans="1:14" ht="15" hidden="1" customHeight="1">
      <c r="A244" s="30" t="s">
        <v>414</v>
      </c>
      <c r="B244" s="30" t="s">
        <v>345</v>
      </c>
      <c r="C244" s="73">
        <v>45349</v>
      </c>
      <c r="D244" s="30">
        <v>506</v>
      </c>
      <c r="E244" s="30" t="s">
        <v>408</v>
      </c>
      <c r="F244" s="30" t="s">
        <v>377</v>
      </c>
      <c r="G244" s="30" t="s">
        <v>437</v>
      </c>
      <c r="H244" s="30">
        <v>964068</v>
      </c>
      <c r="I244" s="30"/>
      <c r="J244" s="30" t="s">
        <v>181</v>
      </c>
      <c r="K244" s="64">
        <v>10</v>
      </c>
      <c r="L244" s="143">
        <v>1.641</v>
      </c>
      <c r="M244" s="64">
        <f t="shared" si="16"/>
        <v>8.359</v>
      </c>
      <c r="N244" s="54">
        <f t="shared" si="17"/>
        <v>0.1641</v>
      </c>
    </row>
    <row r="245" spans="1:14" ht="15" hidden="1" customHeight="1">
      <c r="A245" s="30" t="s">
        <v>414</v>
      </c>
      <c r="B245" s="30" t="s">
        <v>345</v>
      </c>
      <c r="C245" s="73">
        <v>45349</v>
      </c>
      <c r="D245" s="30">
        <v>506</v>
      </c>
      <c r="E245" s="30" t="s">
        <v>408</v>
      </c>
      <c r="F245" s="30" t="s">
        <v>377</v>
      </c>
      <c r="G245" s="30" t="s">
        <v>437</v>
      </c>
      <c r="H245" s="30">
        <v>964068</v>
      </c>
      <c r="I245" s="30"/>
      <c r="J245" s="30" t="s">
        <v>182</v>
      </c>
      <c r="K245" s="64">
        <v>40</v>
      </c>
      <c r="L245" s="143">
        <v>48.359000000000002</v>
      </c>
      <c r="M245" s="64">
        <f t="shared" si="16"/>
        <v>-8.3590000000000018</v>
      </c>
      <c r="N245" s="54">
        <f t="shared" si="17"/>
        <v>1.2089750000000001</v>
      </c>
    </row>
    <row r="246" spans="1:14" ht="15" hidden="1" customHeight="1">
      <c r="A246" s="30" t="s">
        <v>343</v>
      </c>
      <c r="B246" s="30" t="s">
        <v>345</v>
      </c>
      <c r="C246" s="73">
        <v>45350</v>
      </c>
      <c r="D246" s="30">
        <v>523</v>
      </c>
      <c r="E246" s="30" t="s">
        <v>346</v>
      </c>
      <c r="F246" s="30" t="s">
        <v>344</v>
      </c>
      <c r="G246" s="30" t="s">
        <v>477</v>
      </c>
      <c r="H246" s="30">
        <v>969525</v>
      </c>
      <c r="I246" s="30"/>
      <c r="J246" s="30" t="s">
        <v>181</v>
      </c>
      <c r="K246" s="64">
        <v>131</v>
      </c>
      <c r="L246" s="143"/>
      <c r="M246" s="64">
        <f t="shared" si="16"/>
        <v>131</v>
      </c>
      <c r="N246" s="54">
        <f t="shared" si="17"/>
        <v>0</v>
      </c>
    </row>
    <row r="247" spans="1:14" ht="15" hidden="1" customHeight="1">
      <c r="A247" s="30" t="s">
        <v>343</v>
      </c>
      <c r="B247" s="30" t="s">
        <v>345</v>
      </c>
      <c r="C247" s="73">
        <v>45350</v>
      </c>
      <c r="D247" s="30">
        <v>523</v>
      </c>
      <c r="E247" s="30" t="s">
        <v>346</v>
      </c>
      <c r="F247" s="30" t="s">
        <v>344</v>
      </c>
      <c r="G247" s="30" t="s">
        <v>477</v>
      </c>
      <c r="H247" s="30">
        <v>969525</v>
      </c>
      <c r="I247" s="30"/>
      <c r="J247" s="30" t="s">
        <v>182</v>
      </c>
      <c r="K247" s="64">
        <v>169</v>
      </c>
      <c r="L247" s="143"/>
      <c r="M247" s="64">
        <f t="shared" si="16"/>
        <v>169</v>
      </c>
      <c r="N247" s="54">
        <f t="shared" si="17"/>
        <v>0</v>
      </c>
    </row>
    <row r="248" spans="1:14" ht="15" hidden="1" customHeight="1">
      <c r="A248" s="30" t="s">
        <v>343</v>
      </c>
      <c r="B248" s="30" t="s">
        <v>345</v>
      </c>
      <c r="C248" s="73">
        <v>45350</v>
      </c>
      <c r="D248" s="30">
        <v>523</v>
      </c>
      <c r="E248" s="30" t="s">
        <v>346</v>
      </c>
      <c r="F248" s="30" t="s">
        <v>344</v>
      </c>
      <c r="G248" s="30" t="s">
        <v>434</v>
      </c>
      <c r="H248" s="30">
        <v>701702</v>
      </c>
      <c r="I248" s="30"/>
      <c r="J248" s="30" t="s">
        <v>181</v>
      </c>
      <c r="K248" s="64">
        <v>88</v>
      </c>
      <c r="L248" s="143"/>
      <c r="M248" s="64">
        <f t="shared" si="16"/>
        <v>88</v>
      </c>
      <c r="N248" s="54">
        <f t="shared" si="17"/>
        <v>0</v>
      </c>
    </row>
    <row r="249" spans="1:14" ht="15" hidden="1" customHeight="1">
      <c r="A249" s="30" t="s">
        <v>343</v>
      </c>
      <c r="B249" s="30" t="s">
        <v>345</v>
      </c>
      <c r="C249" s="73">
        <v>45350</v>
      </c>
      <c r="D249" s="30">
        <v>523</v>
      </c>
      <c r="E249" s="30" t="s">
        <v>346</v>
      </c>
      <c r="F249" s="30" t="s">
        <v>344</v>
      </c>
      <c r="G249" s="30" t="s">
        <v>434</v>
      </c>
      <c r="H249" s="30">
        <v>701702</v>
      </c>
      <c r="I249" s="30"/>
      <c r="J249" s="30" t="s">
        <v>182</v>
      </c>
      <c r="K249" s="64">
        <v>112</v>
      </c>
      <c r="L249" s="143"/>
      <c r="M249" s="64">
        <f t="shared" si="16"/>
        <v>112</v>
      </c>
      <c r="N249" s="54">
        <f t="shared" si="17"/>
        <v>0</v>
      </c>
    </row>
    <row r="250" spans="1:14" ht="15" hidden="1" customHeight="1">
      <c r="A250" s="30" t="s">
        <v>343</v>
      </c>
      <c r="B250" s="30" t="s">
        <v>345</v>
      </c>
      <c r="C250" s="73">
        <v>45350</v>
      </c>
      <c r="D250" s="30">
        <v>523</v>
      </c>
      <c r="E250" s="30" t="s">
        <v>346</v>
      </c>
      <c r="F250" s="30" t="s">
        <v>344</v>
      </c>
      <c r="G250" s="30" t="s">
        <v>478</v>
      </c>
      <c r="H250" s="30">
        <v>969751</v>
      </c>
      <c r="I250" s="30"/>
      <c r="J250" s="30" t="s">
        <v>181</v>
      </c>
      <c r="K250" s="64">
        <v>66</v>
      </c>
      <c r="L250" s="143"/>
      <c r="M250" s="64">
        <f t="shared" ref="M250:M251" si="18">K250-L250</f>
        <v>66</v>
      </c>
      <c r="N250" s="54">
        <f t="shared" si="17"/>
        <v>0</v>
      </c>
    </row>
    <row r="251" spans="1:14" ht="15" hidden="1" customHeight="1">
      <c r="A251" s="30" t="s">
        <v>343</v>
      </c>
      <c r="B251" s="30" t="s">
        <v>345</v>
      </c>
      <c r="C251" s="73">
        <v>45350</v>
      </c>
      <c r="D251" s="30">
        <v>523</v>
      </c>
      <c r="E251" s="30" t="s">
        <v>346</v>
      </c>
      <c r="F251" s="30" t="s">
        <v>344</v>
      </c>
      <c r="G251" s="30" t="s">
        <v>478</v>
      </c>
      <c r="H251" s="30">
        <v>969751</v>
      </c>
      <c r="I251" s="30"/>
      <c r="J251" s="30" t="s">
        <v>182</v>
      </c>
      <c r="K251" s="64">
        <v>84</v>
      </c>
      <c r="L251" s="143"/>
      <c r="M251" s="64">
        <f t="shared" si="18"/>
        <v>84</v>
      </c>
      <c r="N251" s="54">
        <f t="shared" si="17"/>
        <v>0</v>
      </c>
    </row>
    <row r="252" spans="1:14" ht="15" hidden="1" customHeight="1">
      <c r="A252" s="30" t="s">
        <v>343</v>
      </c>
      <c r="B252" s="30" t="s">
        <v>390</v>
      </c>
      <c r="C252" s="73">
        <v>45351</v>
      </c>
      <c r="D252" s="30">
        <v>537</v>
      </c>
      <c r="E252" s="30" t="s">
        <v>346</v>
      </c>
      <c r="F252" s="30" t="s">
        <v>344</v>
      </c>
      <c r="G252" s="30" t="s">
        <v>479</v>
      </c>
      <c r="H252" s="30">
        <v>700572</v>
      </c>
      <c r="I252" s="30"/>
      <c r="J252" s="30" t="s">
        <v>181</v>
      </c>
      <c r="K252" s="216">
        <v>175</v>
      </c>
      <c r="L252" s="143">
        <v>102.38800000000001</v>
      </c>
      <c r="M252" s="216">
        <f>K252-(L252+L253)</f>
        <v>72.611999999999995</v>
      </c>
      <c r="N252" s="217">
        <f>(L252+L253)/K252</f>
        <v>0.58507428571428577</v>
      </c>
    </row>
    <row r="253" spans="1:14" ht="15" hidden="1" customHeight="1">
      <c r="A253" s="30" t="s">
        <v>343</v>
      </c>
      <c r="B253" s="30" t="s">
        <v>390</v>
      </c>
      <c r="C253" s="73">
        <v>45351</v>
      </c>
      <c r="D253" s="30">
        <v>537</v>
      </c>
      <c r="E253" s="30" t="s">
        <v>346</v>
      </c>
      <c r="F253" s="30" t="s">
        <v>344</v>
      </c>
      <c r="G253" s="30" t="s">
        <v>480</v>
      </c>
      <c r="H253" s="30">
        <v>968933</v>
      </c>
      <c r="I253" s="30"/>
      <c r="J253" s="30" t="s">
        <v>181</v>
      </c>
      <c r="K253" s="216"/>
      <c r="L253" s="143"/>
      <c r="M253" s="216"/>
      <c r="N253" s="217"/>
    </row>
    <row r="254" spans="1:14" ht="15" hidden="1" customHeight="1">
      <c r="A254" s="30" t="s">
        <v>343</v>
      </c>
      <c r="B254" s="30" t="s">
        <v>390</v>
      </c>
      <c r="C254" s="73">
        <v>45351</v>
      </c>
      <c r="D254" s="30">
        <v>537</v>
      </c>
      <c r="E254" s="30" t="s">
        <v>346</v>
      </c>
      <c r="F254" s="30" t="s">
        <v>344</v>
      </c>
      <c r="G254" s="30" t="s">
        <v>479</v>
      </c>
      <c r="H254" s="30">
        <v>700572</v>
      </c>
      <c r="I254" s="30"/>
      <c r="J254" s="30" t="s">
        <v>182</v>
      </c>
      <c r="K254" s="216">
        <v>225</v>
      </c>
      <c r="L254" s="143">
        <v>67.040999999999997</v>
      </c>
      <c r="M254" s="216">
        <f>K254-(L254+L255)</f>
        <v>157.959</v>
      </c>
      <c r="N254" s="217">
        <f>(L254+L255)/K254</f>
        <v>0.29796</v>
      </c>
    </row>
    <row r="255" spans="1:14" ht="15" hidden="1" customHeight="1">
      <c r="A255" s="30" t="s">
        <v>343</v>
      </c>
      <c r="B255" s="30" t="s">
        <v>390</v>
      </c>
      <c r="C255" s="73">
        <v>45351</v>
      </c>
      <c r="D255" s="30">
        <v>537</v>
      </c>
      <c r="E255" s="30" t="s">
        <v>346</v>
      </c>
      <c r="F255" s="30" t="s">
        <v>344</v>
      </c>
      <c r="G255" s="30" t="s">
        <v>480</v>
      </c>
      <c r="H255" s="30">
        <v>968933</v>
      </c>
      <c r="I255" s="30"/>
      <c r="J255" s="30" t="s">
        <v>182</v>
      </c>
      <c r="K255" s="216"/>
      <c r="L255" s="143"/>
      <c r="M255" s="216"/>
      <c r="N255" s="217"/>
    </row>
    <row r="256" spans="1:14" ht="15" hidden="1" customHeight="1">
      <c r="A256" s="30" t="s">
        <v>481</v>
      </c>
      <c r="B256" s="30" t="s">
        <v>390</v>
      </c>
      <c r="C256" s="73">
        <v>45351</v>
      </c>
      <c r="D256" s="30">
        <v>538</v>
      </c>
      <c r="E256" s="30" t="s">
        <v>346</v>
      </c>
      <c r="F256" s="30" t="s">
        <v>344</v>
      </c>
      <c r="G256" s="30" t="s">
        <v>482</v>
      </c>
      <c r="H256" s="30">
        <v>965073</v>
      </c>
      <c r="I256" s="30"/>
      <c r="J256" s="30" t="s">
        <v>182</v>
      </c>
      <c r="K256" s="216">
        <v>527.40599999999995</v>
      </c>
      <c r="L256" s="143">
        <v>18.547999999999998</v>
      </c>
      <c r="M256" s="216">
        <f>K256-(L256+L257+L258)</f>
        <v>461.26099999999997</v>
      </c>
      <c r="N256" s="217">
        <f>(L256+L257+L258)/K256</f>
        <v>0.12541571389024775</v>
      </c>
    </row>
    <row r="257" spans="1:14" ht="15" hidden="1" customHeight="1">
      <c r="A257" s="30" t="s">
        <v>481</v>
      </c>
      <c r="B257" s="30" t="s">
        <v>390</v>
      </c>
      <c r="C257" s="73">
        <v>45351</v>
      </c>
      <c r="D257" s="30">
        <v>538</v>
      </c>
      <c r="E257" s="30" t="s">
        <v>346</v>
      </c>
      <c r="F257" s="30" t="s">
        <v>344</v>
      </c>
      <c r="G257" s="30" t="s">
        <v>483</v>
      </c>
      <c r="H257" s="30">
        <v>968981</v>
      </c>
      <c r="I257" s="30"/>
      <c r="J257" s="30" t="s">
        <v>182</v>
      </c>
      <c r="K257" s="216"/>
      <c r="L257" s="143">
        <v>46.472999999999999</v>
      </c>
      <c r="M257" s="216"/>
      <c r="N257" s="217"/>
    </row>
    <row r="258" spans="1:14" ht="15" hidden="1" customHeight="1">
      <c r="A258" s="30" t="s">
        <v>481</v>
      </c>
      <c r="B258" s="30" t="s">
        <v>390</v>
      </c>
      <c r="C258" s="73">
        <v>45351</v>
      </c>
      <c r="D258" s="30">
        <v>538</v>
      </c>
      <c r="E258" s="30" t="s">
        <v>346</v>
      </c>
      <c r="F258" s="30" t="s">
        <v>344</v>
      </c>
      <c r="G258" s="30" t="s">
        <v>484</v>
      </c>
      <c r="H258" s="30">
        <v>701930</v>
      </c>
      <c r="I258" s="30"/>
      <c r="J258" s="30" t="s">
        <v>182</v>
      </c>
      <c r="K258" s="216"/>
      <c r="L258" s="143">
        <v>1.1240000000000001</v>
      </c>
      <c r="M258" s="216"/>
      <c r="N258" s="217"/>
    </row>
    <row r="259" spans="1:14" ht="15" hidden="1" customHeight="1">
      <c r="A259" s="30" t="s">
        <v>487</v>
      </c>
      <c r="B259" s="30" t="s">
        <v>345</v>
      </c>
      <c r="C259" s="73">
        <v>45352</v>
      </c>
      <c r="D259" s="30">
        <v>572</v>
      </c>
      <c r="E259" s="30" t="s">
        <v>408</v>
      </c>
      <c r="F259" s="30" t="s">
        <v>377</v>
      </c>
      <c r="G259" s="30" t="s">
        <v>457</v>
      </c>
      <c r="H259" s="30">
        <v>700493</v>
      </c>
      <c r="I259" s="30"/>
      <c r="J259" s="30" t="s">
        <v>181</v>
      </c>
      <c r="K259" s="64">
        <v>20</v>
      </c>
      <c r="L259" s="143">
        <v>16.864999999999998</v>
      </c>
      <c r="M259" s="64">
        <f t="shared" ref="M259:M268" si="19">K259-L259</f>
        <v>3.1350000000000016</v>
      </c>
      <c r="N259" s="54">
        <f t="shared" ref="N259:N268" si="20">L259/K259</f>
        <v>0.84324999999999994</v>
      </c>
    </row>
    <row r="260" spans="1:14" ht="15" hidden="1" customHeight="1">
      <c r="A260" s="30" t="s">
        <v>487</v>
      </c>
      <c r="B260" s="30" t="s">
        <v>345</v>
      </c>
      <c r="C260" s="73">
        <v>45352</v>
      </c>
      <c r="D260" s="30">
        <v>572</v>
      </c>
      <c r="E260" s="30" t="s">
        <v>408</v>
      </c>
      <c r="F260" s="30" t="s">
        <v>377</v>
      </c>
      <c r="G260" s="30" t="s">
        <v>409</v>
      </c>
      <c r="H260" s="30">
        <v>700493</v>
      </c>
      <c r="I260" s="30"/>
      <c r="J260" s="30" t="s">
        <v>182</v>
      </c>
      <c r="K260" s="64">
        <v>30</v>
      </c>
      <c r="L260" s="143">
        <v>33.134999999999998</v>
      </c>
      <c r="M260" s="64">
        <f t="shared" si="19"/>
        <v>-3.134999999999998</v>
      </c>
      <c r="N260" s="54">
        <f t="shared" si="20"/>
        <v>1.1045</v>
      </c>
    </row>
    <row r="261" spans="1:14" ht="15" hidden="1" customHeight="1">
      <c r="A261" s="30" t="s">
        <v>391</v>
      </c>
      <c r="B261" s="30" t="s">
        <v>345</v>
      </c>
      <c r="C261" s="73">
        <v>45355</v>
      </c>
      <c r="D261" s="30">
        <v>589</v>
      </c>
      <c r="E261" s="30" t="s">
        <v>346</v>
      </c>
      <c r="F261" s="30" t="s">
        <v>344</v>
      </c>
      <c r="G261" s="30" t="s">
        <v>488</v>
      </c>
      <c r="H261" s="30">
        <v>700140</v>
      </c>
      <c r="I261" s="30"/>
      <c r="J261" s="30" t="s">
        <v>181</v>
      </c>
      <c r="K261" s="64">
        <v>474.7</v>
      </c>
      <c r="L261" s="143">
        <v>88.212999999999994</v>
      </c>
      <c r="M261" s="64">
        <f t="shared" si="19"/>
        <v>386.48699999999997</v>
      </c>
      <c r="N261" s="54">
        <f t="shared" si="20"/>
        <v>0.1858289445965873</v>
      </c>
    </row>
    <row r="262" spans="1:14" ht="15" hidden="1" customHeight="1">
      <c r="A262" s="30" t="s">
        <v>391</v>
      </c>
      <c r="B262" s="30" t="s">
        <v>345</v>
      </c>
      <c r="C262" s="73">
        <v>45355</v>
      </c>
      <c r="D262" s="154">
        <v>589</v>
      </c>
      <c r="E262" s="30" t="s">
        <v>346</v>
      </c>
      <c r="F262" s="30" t="s">
        <v>344</v>
      </c>
      <c r="G262" s="30" t="s">
        <v>488</v>
      </c>
      <c r="H262" s="30">
        <v>700140</v>
      </c>
      <c r="I262" s="30"/>
      <c r="J262" s="30" t="s">
        <v>182</v>
      </c>
      <c r="K262" s="64">
        <v>178.12</v>
      </c>
      <c r="L262" s="143">
        <v>41.957000000000001</v>
      </c>
      <c r="M262" s="64">
        <f t="shared" si="19"/>
        <v>136.16300000000001</v>
      </c>
      <c r="N262" s="54">
        <f t="shared" si="20"/>
        <v>0.23555468223669437</v>
      </c>
    </row>
    <row r="263" spans="1:14" ht="15" hidden="1" customHeight="1">
      <c r="A263" s="30" t="s">
        <v>391</v>
      </c>
      <c r="B263" s="30" t="s">
        <v>345</v>
      </c>
      <c r="C263" s="73">
        <v>45355</v>
      </c>
      <c r="D263" s="154">
        <v>589</v>
      </c>
      <c r="E263" s="30" t="s">
        <v>346</v>
      </c>
      <c r="F263" s="30" t="s">
        <v>344</v>
      </c>
      <c r="G263" s="30" t="s">
        <v>489</v>
      </c>
      <c r="H263" s="30">
        <v>969602</v>
      </c>
      <c r="I263" s="30"/>
      <c r="J263" s="30" t="s">
        <v>181</v>
      </c>
      <c r="K263" s="64">
        <v>474.7</v>
      </c>
      <c r="L263" s="143">
        <v>123.093</v>
      </c>
      <c r="M263" s="64">
        <f t="shared" si="19"/>
        <v>351.60699999999997</v>
      </c>
      <c r="N263" s="54">
        <f t="shared" si="20"/>
        <v>0.25930693069306932</v>
      </c>
    </row>
    <row r="264" spans="1:14" ht="15" hidden="1" customHeight="1">
      <c r="A264" s="30" t="s">
        <v>391</v>
      </c>
      <c r="B264" s="30" t="s">
        <v>345</v>
      </c>
      <c r="C264" s="73">
        <v>45355</v>
      </c>
      <c r="D264" s="154">
        <v>589</v>
      </c>
      <c r="E264" s="30" t="s">
        <v>346</v>
      </c>
      <c r="F264" s="30" t="s">
        <v>344</v>
      </c>
      <c r="G264" s="30" t="s">
        <v>489</v>
      </c>
      <c r="H264" s="30">
        <v>969602</v>
      </c>
      <c r="I264" s="30"/>
      <c r="J264" s="30" t="s">
        <v>182</v>
      </c>
      <c r="K264" s="64">
        <v>178.12</v>
      </c>
      <c r="L264" s="143">
        <v>26.483000000000001</v>
      </c>
      <c r="M264" s="64">
        <f t="shared" si="19"/>
        <v>151.637</v>
      </c>
      <c r="N264" s="54">
        <f t="shared" si="20"/>
        <v>0.14868066472041319</v>
      </c>
    </row>
    <row r="265" spans="1:14" ht="15" hidden="1" customHeight="1">
      <c r="A265" s="30" t="s">
        <v>391</v>
      </c>
      <c r="B265" s="30" t="s">
        <v>345</v>
      </c>
      <c r="C265" s="73">
        <v>45355</v>
      </c>
      <c r="D265" s="154">
        <v>589</v>
      </c>
      <c r="E265" s="30" t="s">
        <v>346</v>
      </c>
      <c r="F265" s="30" t="s">
        <v>344</v>
      </c>
      <c r="G265" s="30" t="s">
        <v>490</v>
      </c>
      <c r="H265" s="30">
        <v>968132</v>
      </c>
      <c r="I265" s="30"/>
      <c r="J265" s="30" t="s">
        <v>181</v>
      </c>
      <c r="K265" s="64">
        <v>474.7</v>
      </c>
      <c r="L265" s="143">
        <v>23.053000000000001</v>
      </c>
      <c r="M265" s="64">
        <f t="shared" si="19"/>
        <v>451.64699999999999</v>
      </c>
      <c r="N265" s="54">
        <f t="shared" si="20"/>
        <v>4.8563303138824523E-2</v>
      </c>
    </row>
    <row r="266" spans="1:14" ht="15" hidden="1" customHeight="1">
      <c r="A266" s="30" t="s">
        <v>391</v>
      </c>
      <c r="B266" s="30" t="s">
        <v>345</v>
      </c>
      <c r="C266" s="73">
        <v>45355</v>
      </c>
      <c r="D266" s="154">
        <v>589</v>
      </c>
      <c r="E266" s="30" t="s">
        <v>346</v>
      </c>
      <c r="F266" s="30" t="s">
        <v>344</v>
      </c>
      <c r="G266" s="30" t="s">
        <v>490</v>
      </c>
      <c r="H266" s="30">
        <v>968132</v>
      </c>
      <c r="I266" s="30"/>
      <c r="J266" s="30" t="s">
        <v>182</v>
      </c>
      <c r="K266" s="64">
        <v>178.12</v>
      </c>
      <c r="L266" s="143">
        <v>74.912000000000006</v>
      </c>
      <c r="M266" s="64">
        <f t="shared" si="19"/>
        <v>103.208</v>
      </c>
      <c r="N266" s="54">
        <f t="shared" si="20"/>
        <v>0.42057040197619583</v>
      </c>
    </row>
    <row r="267" spans="1:14" ht="15" hidden="1" customHeight="1">
      <c r="A267" s="30" t="s">
        <v>391</v>
      </c>
      <c r="B267" s="30" t="s">
        <v>345</v>
      </c>
      <c r="C267" s="73">
        <v>45355</v>
      </c>
      <c r="D267" s="154">
        <v>589</v>
      </c>
      <c r="E267" s="30" t="s">
        <v>346</v>
      </c>
      <c r="F267" s="30" t="s">
        <v>344</v>
      </c>
      <c r="G267" s="30" t="s">
        <v>593</v>
      </c>
      <c r="H267" s="30">
        <v>969362</v>
      </c>
      <c r="I267" s="30"/>
      <c r="J267" s="30" t="s">
        <v>181</v>
      </c>
      <c r="K267" s="64">
        <v>474.85</v>
      </c>
      <c r="L267" s="143">
        <v>37.938000000000002</v>
      </c>
      <c r="M267" s="64">
        <f t="shared" si="19"/>
        <v>436.91200000000003</v>
      </c>
      <c r="N267" s="54">
        <f t="shared" si="20"/>
        <v>7.989470359060756E-2</v>
      </c>
    </row>
    <row r="268" spans="1:14" ht="15" hidden="1" customHeight="1">
      <c r="A268" s="30" t="s">
        <v>391</v>
      </c>
      <c r="B268" s="30" t="s">
        <v>345</v>
      </c>
      <c r="C268" s="73">
        <v>45355</v>
      </c>
      <c r="D268" s="154">
        <v>589</v>
      </c>
      <c r="E268" s="30" t="s">
        <v>346</v>
      </c>
      <c r="F268" s="30" t="s">
        <v>344</v>
      </c>
      <c r="G268" s="30" t="s">
        <v>593</v>
      </c>
      <c r="H268" s="30">
        <v>969362</v>
      </c>
      <c r="I268" s="30"/>
      <c r="J268" s="30" t="s">
        <v>182</v>
      </c>
      <c r="K268" s="64">
        <v>178.12</v>
      </c>
      <c r="L268" s="143">
        <v>56.274000000000001</v>
      </c>
      <c r="M268" s="64">
        <f t="shared" si="19"/>
        <v>121.846</v>
      </c>
      <c r="N268" s="54">
        <f t="shared" si="20"/>
        <v>0.31593307882326521</v>
      </c>
    </row>
    <row r="269" spans="1:14" ht="15" hidden="1" customHeight="1">
      <c r="A269" s="30" t="s">
        <v>385</v>
      </c>
      <c r="B269" s="30" t="s">
        <v>390</v>
      </c>
      <c r="C269" s="73">
        <v>45356</v>
      </c>
      <c r="D269" s="30">
        <v>604</v>
      </c>
      <c r="E269" s="30" t="s">
        <v>346</v>
      </c>
      <c r="F269" s="30" t="s">
        <v>344</v>
      </c>
      <c r="G269" s="30" t="s">
        <v>491</v>
      </c>
      <c r="H269" s="30">
        <v>954609</v>
      </c>
      <c r="I269" s="30"/>
      <c r="J269" s="30" t="s">
        <v>181</v>
      </c>
      <c r="K269" s="216">
        <v>154</v>
      </c>
      <c r="L269" s="143"/>
      <c r="M269" s="216">
        <f>K269-(L269+L270+L271)</f>
        <v>154</v>
      </c>
      <c r="N269" s="217">
        <f>(L269+L270+L271)/K269</f>
        <v>0</v>
      </c>
    </row>
    <row r="270" spans="1:14" ht="15" hidden="1" customHeight="1">
      <c r="A270" s="30" t="s">
        <v>385</v>
      </c>
      <c r="B270" s="30" t="s">
        <v>390</v>
      </c>
      <c r="C270" s="73">
        <v>45356</v>
      </c>
      <c r="D270" s="30">
        <v>604</v>
      </c>
      <c r="E270" s="30" t="s">
        <v>346</v>
      </c>
      <c r="F270" s="30" t="s">
        <v>344</v>
      </c>
      <c r="G270" s="30" t="s">
        <v>492</v>
      </c>
      <c r="H270" s="30">
        <v>955330</v>
      </c>
      <c r="I270" s="30"/>
      <c r="J270" s="30" t="s">
        <v>181</v>
      </c>
      <c r="K270" s="216"/>
      <c r="L270" s="143"/>
      <c r="M270" s="216"/>
      <c r="N270" s="217"/>
    </row>
    <row r="271" spans="1:14" ht="15" hidden="1" customHeight="1">
      <c r="A271" s="30" t="s">
        <v>385</v>
      </c>
      <c r="B271" s="30" t="s">
        <v>390</v>
      </c>
      <c r="C271" s="73">
        <v>45356</v>
      </c>
      <c r="D271" s="30">
        <v>604</v>
      </c>
      <c r="E271" s="30" t="s">
        <v>346</v>
      </c>
      <c r="F271" s="30" t="s">
        <v>344</v>
      </c>
      <c r="G271" s="30" t="s">
        <v>493</v>
      </c>
      <c r="H271" s="30">
        <v>951919</v>
      </c>
      <c r="I271" s="30"/>
      <c r="J271" s="30" t="s">
        <v>181</v>
      </c>
      <c r="K271" s="216"/>
      <c r="L271" s="143"/>
      <c r="M271" s="216"/>
      <c r="N271" s="217"/>
    </row>
    <row r="272" spans="1:14" ht="15" hidden="1" customHeight="1">
      <c r="A272" s="30" t="s">
        <v>385</v>
      </c>
      <c r="B272" s="30" t="s">
        <v>390</v>
      </c>
      <c r="C272" s="73">
        <v>45356</v>
      </c>
      <c r="D272" s="30">
        <v>604</v>
      </c>
      <c r="E272" s="30" t="s">
        <v>346</v>
      </c>
      <c r="F272" s="30" t="s">
        <v>344</v>
      </c>
      <c r="G272" s="30" t="s">
        <v>491</v>
      </c>
      <c r="H272" s="30">
        <v>954609</v>
      </c>
      <c r="I272" s="30"/>
      <c r="J272" s="30" t="s">
        <v>182</v>
      </c>
      <c r="K272" s="216">
        <v>296</v>
      </c>
      <c r="L272" s="143"/>
      <c r="M272" s="216">
        <f>K272-(L272+L273+L274)</f>
        <v>296</v>
      </c>
      <c r="N272" s="217">
        <f>(L272+L273+L274)/K272</f>
        <v>0</v>
      </c>
    </row>
    <row r="273" spans="1:14" ht="15" hidden="1" customHeight="1">
      <c r="A273" s="30" t="s">
        <v>385</v>
      </c>
      <c r="B273" s="30" t="s">
        <v>390</v>
      </c>
      <c r="C273" s="73">
        <v>45356</v>
      </c>
      <c r="D273" s="30">
        <v>604</v>
      </c>
      <c r="E273" s="30" t="s">
        <v>346</v>
      </c>
      <c r="F273" s="30" t="s">
        <v>344</v>
      </c>
      <c r="G273" s="30" t="s">
        <v>492</v>
      </c>
      <c r="H273" s="30">
        <v>955330</v>
      </c>
      <c r="I273" s="30"/>
      <c r="J273" s="30" t="s">
        <v>182</v>
      </c>
      <c r="K273" s="216"/>
      <c r="L273" s="143"/>
      <c r="M273" s="216"/>
      <c r="N273" s="217"/>
    </row>
    <row r="274" spans="1:14" ht="15" hidden="1" customHeight="1">
      <c r="A274" s="30" t="s">
        <v>385</v>
      </c>
      <c r="B274" s="30" t="s">
        <v>390</v>
      </c>
      <c r="C274" s="73">
        <v>45356</v>
      </c>
      <c r="D274" s="30">
        <v>604</v>
      </c>
      <c r="E274" s="30" t="s">
        <v>346</v>
      </c>
      <c r="F274" s="30" t="s">
        <v>344</v>
      </c>
      <c r="G274" s="30" t="s">
        <v>493</v>
      </c>
      <c r="H274" s="30">
        <v>951919</v>
      </c>
      <c r="I274" s="30"/>
      <c r="J274" s="30" t="s">
        <v>182</v>
      </c>
      <c r="K274" s="216"/>
      <c r="L274" s="143"/>
      <c r="M274" s="216"/>
      <c r="N274" s="217"/>
    </row>
    <row r="275" spans="1:14" ht="15" hidden="1" customHeight="1">
      <c r="A275" s="30" t="s">
        <v>385</v>
      </c>
      <c r="B275" s="30" t="s">
        <v>390</v>
      </c>
      <c r="C275" s="73">
        <v>45356</v>
      </c>
      <c r="D275" s="30">
        <v>604</v>
      </c>
      <c r="E275" s="30" t="s">
        <v>346</v>
      </c>
      <c r="F275" s="30" t="s">
        <v>344</v>
      </c>
      <c r="G275" s="30" t="s">
        <v>494</v>
      </c>
      <c r="H275" s="30">
        <v>952323</v>
      </c>
      <c r="I275" s="30"/>
      <c r="J275" s="30" t="s">
        <v>181</v>
      </c>
      <c r="K275" s="216">
        <v>172</v>
      </c>
      <c r="L275" s="143"/>
      <c r="M275" s="216">
        <f>K275-(L275+L276)</f>
        <v>83.055000000000007</v>
      </c>
      <c r="N275" s="217">
        <f>(L275+L276)/K275</f>
        <v>0.51712209302325574</v>
      </c>
    </row>
    <row r="276" spans="1:14" ht="15" hidden="1" customHeight="1">
      <c r="A276" s="30" t="s">
        <v>385</v>
      </c>
      <c r="B276" s="30" t="s">
        <v>390</v>
      </c>
      <c r="C276" s="73">
        <v>45356</v>
      </c>
      <c r="D276" s="30">
        <v>604</v>
      </c>
      <c r="E276" s="30" t="s">
        <v>346</v>
      </c>
      <c r="F276" s="30" t="s">
        <v>344</v>
      </c>
      <c r="G276" s="30" t="s">
        <v>379</v>
      </c>
      <c r="H276" s="30">
        <v>698337</v>
      </c>
      <c r="I276" s="30"/>
      <c r="J276" s="30" t="s">
        <v>181</v>
      </c>
      <c r="K276" s="216"/>
      <c r="L276" s="143">
        <v>88.944999999999993</v>
      </c>
      <c r="M276" s="216"/>
      <c r="N276" s="217"/>
    </row>
    <row r="277" spans="1:14" ht="15" hidden="1" customHeight="1">
      <c r="A277" s="30" t="s">
        <v>385</v>
      </c>
      <c r="B277" s="30" t="s">
        <v>390</v>
      </c>
      <c r="C277" s="73">
        <v>45356</v>
      </c>
      <c r="D277" s="30">
        <v>604</v>
      </c>
      <c r="E277" s="30" t="s">
        <v>346</v>
      </c>
      <c r="F277" s="30" t="s">
        <v>344</v>
      </c>
      <c r="G277" s="30" t="s">
        <v>494</v>
      </c>
      <c r="H277" s="30">
        <v>952323</v>
      </c>
      <c r="I277" s="30"/>
      <c r="J277" s="30" t="s">
        <v>182</v>
      </c>
      <c r="K277" s="216">
        <v>328</v>
      </c>
      <c r="L277" s="143"/>
      <c r="M277" s="216">
        <f>K277-(L277+L278)</f>
        <v>286.60899999999998</v>
      </c>
      <c r="N277" s="217">
        <f>(L277+L278)/K277</f>
        <v>0.12619207317073169</v>
      </c>
    </row>
    <row r="278" spans="1:14" ht="15" hidden="1" customHeight="1">
      <c r="A278" s="30" t="s">
        <v>385</v>
      </c>
      <c r="B278" s="30" t="s">
        <v>390</v>
      </c>
      <c r="C278" s="73">
        <v>45356</v>
      </c>
      <c r="D278" s="30">
        <v>604</v>
      </c>
      <c r="E278" s="30" t="s">
        <v>346</v>
      </c>
      <c r="F278" s="30" t="s">
        <v>344</v>
      </c>
      <c r="G278" s="30" t="s">
        <v>379</v>
      </c>
      <c r="H278" s="30">
        <v>698337</v>
      </c>
      <c r="I278" s="30"/>
      <c r="J278" s="30" t="s">
        <v>182</v>
      </c>
      <c r="K278" s="216"/>
      <c r="L278" s="143">
        <v>41.390999999999998</v>
      </c>
      <c r="M278" s="216"/>
      <c r="N278" s="217"/>
    </row>
    <row r="279" spans="1:14" ht="15" hidden="1" customHeight="1">
      <c r="A279" s="30" t="s">
        <v>385</v>
      </c>
      <c r="B279" s="30" t="s">
        <v>345</v>
      </c>
      <c r="C279" s="73">
        <v>45356</v>
      </c>
      <c r="D279" s="30">
        <v>604</v>
      </c>
      <c r="E279" s="30" t="s">
        <v>346</v>
      </c>
      <c r="F279" s="30" t="s">
        <v>344</v>
      </c>
      <c r="G279" s="30" t="s">
        <v>495</v>
      </c>
      <c r="H279" s="30">
        <v>955404</v>
      </c>
      <c r="I279" s="30"/>
      <c r="J279" s="30" t="s">
        <v>181</v>
      </c>
      <c r="K279" s="64">
        <v>0</v>
      </c>
      <c r="L279" s="143"/>
      <c r="M279" s="64">
        <f t="shared" ref="M279:M286" si="21">K279-L279</f>
        <v>0</v>
      </c>
      <c r="N279" s="54" t="e">
        <f t="shared" ref="N279:N286" si="22">L279/K279</f>
        <v>#DIV/0!</v>
      </c>
    </row>
    <row r="280" spans="1:14" ht="15" hidden="1" customHeight="1">
      <c r="A280" s="30" t="s">
        <v>385</v>
      </c>
      <c r="B280" s="30" t="s">
        <v>345</v>
      </c>
      <c r="C280" s="73">
        <v>45356</v>
      </c>
      <c r="D280" s="30">
        <v>604</v>
      </c>
      <c r="E280" s="30" t="s">
        <v>346</v>
      </c>
      <c r="F280" s="30" t="s">
        <v>344</v>
      </c>
      <c r="G280" s="30" t="s">
        <v>495</v>
      </c>
      <c r="H280" s="30">
        <v>955404</v>
      </c>
      <c r="I280" s="30"/>
      <c r="J280" s="30" t="s">
        <v>182</v>
      </c>
      <c r="K280" s="64">
        <v>0</v>
      </c>
      <c r="L280" s="143"/>
      <c r="M280" s="64">
        <f t="shared" si="21"/>
        <v>0</v>
      </c>
      <c r="N280" s="54" t="e">
        <f t="shared" si="22"/>
        <v>#DIV/0!</v>
      </c>
    </row>
    <row r="281" spans="1:14" ht="15" hidden="1" customHeight="1">
      <c r="A281" s="30" t="s">
        <v>419</v>
      </c>
      <c r="B281" s="30" t="s">
        <v>345</v>
      </c>
      <c r="C281" s="73">
        <v>45356</v>
      </c>
      <c r="D281" s="30">
        <v>605</v>
      </c>
      <c r="E281" s="30" t="s">
        <v>346</v>
      </c>
      <c r="F281" s="30" t="s">
        <v>344</v>
      </c>
      <c r="G281" s="30" t="s">
        <v>496</v>
      </c>
      <c r="H281" s="30">
        <v>956608</v>
      </c>
      <c r="I281" s="30"/>
      <c r="J281" s="30" t="s">
        <v>181</v>
      </c>
      <c r="K281" s="64">
        <v>0</v>
      </c>
      <c r="L281" s="143"/>
      <c r="M281" s="64">
        <f t="shared" si="21"/>
        <v>0</v>
      </c>
      <c r="N281" s="54" t="e">
        <f t="shared" si="22"/>
        <v>#DIV/0!</v>
      </c>
    </row>
    <row r="282" spans="1:14" ht="15" hidden="1" customHeight="1">
      <c r="A282" s="30" t="s">
        <v>419</v>
      </c>
      <c r="B282" s="30" t="s">
        <v>345</v>
      </c>
      <c r="C282" s="73">
        <v>45356</v>
      </c>
      <c r="D282" s="30">
        <v>605</v>
      </c>
      <c r="E282" s="30" t="s">
        <v>346</v>
      </c>
      <c r="F282" s="30" t="s">
        <v>344</v>
      </c>
      <c r="G282" s="30" t="s">
        <v>496</v>
      </c>
      <c r="H282" s="30">
        <v>956608</v>
      </c>
      <c r="I282" s="30"/>
      <c r="J282" s="30" t="s">
        <v>182</v>
      </c>
      <c r="K282" s="64">
        <v>0</v>
      </c>
      <c r="L282" s="143"/>
      <c r="M282" s="64">
        <f t="shared" si="21"/>
        <v>0</v>
      </c>
      <c r="N282" s="54" t="e">
        <f t="shared" si="22"/>
        <v>#DIV/0!</v>
      </c>
    </row>
    <row r="283" spans="1:14" ht="15" hidden="1" customHeight="1">
      <c r="A283" s="30" t="s">
        <v>419</v>
      </c>
      <c r="B283" s="30" t="s">
        <v>345</v>
      </c>
      <c r="C283" s="73">
        <v>45356</v>
      </c>
      <c r="D283" s="30">
        <v>605</v>
      </c>
      <c r="E283" s="30" t="s">
        <v>346</v>
      </c>
      <c r="F283" s="30" t="s">
        <v>344</v>
      </c>
      <c r="G283" s="30" t="s">
        <v>497</v>
      </c>
      <c r="H283" s="30">
        <v>902733</v>
      </c>
      <c r="I283" s="30"/>
      <c r="J283" s="30" t="s">
        <v>181</v>
      </c>
      <c r="K283" s="64">
        <v>0</v>
      </c>
      <c r="L283" s="143"/>
      <c r="M283" s="64">
        <f t="shared" si="21"/>
        <v>0</v>
      </c>
      <c r="N283" s="54" t="e">
        <f t="shared" si="22"/>
        <v>#DIV/0!</v>
      </c>
    </row>
    <row r="284" spans="1:14" ht="15" hidden="1" customHeight="1">
      <c r="A284" s="30" t="s">
        <v>419</v>
      </c>
      <c r="B284" s="30" t="s">
        <v>345</v>
      </c>
      <c r="C284" s="73">
        <v>45356</v>
      </c>
      <c r="D284" s="30">
        <v>605</v>
      </c>
      <c r="E284" s="30" t="s">
        <v>346</v>
      </c>
      <c r="F284" s="30" t="s">
        <v>344</v>
      </c>
      <c r="G284" s="30" t="s">
        <v>497</v>
      </c>
      <c r="H284" s="30">
        <v>902733</v>
      </c>
      <c r="I284" s="30"/>
      <c r="J284" s="30" t="s">
        <v>182</v>
      </c>
      <c r="K284" s="64">
        <v>0</v>
      </c>
      <c r="L284" s="143"/>
      <c r="M284" s="64">
        <f t="shared" si="21"/>
        <v>0</v>
      </c>
      <c r="N284" s="54" t="e">
        <f t="shared" si="22"/>
        <v>#DIV/0!</v>
      </c>
    </row>
    <row r="285" spans="1:14" ht="15" hidden="1" customHeight="1">
      <c r="A285" s="30" t="s">
        <v>419</v>
      </c>
      <c r="B285" s="30" t="s">
        <v>345</v>
      </c>
      <c r="C285" s="73">
        <v>45356</v>
      </c>
      <c r="D285" s="30">
        <v>605</v>
      </c>
      <c r="E285" s="30" t="s">
        <v>346</v>
      </c>
      <c r="F285" s="30" t="s">
        <v>344</v>
      </c>
      <c r="G285" s="30" t="s">
        <v>498</v>
      </c>
      <c r="H285" s="30">
        <v>953883</v>
      </c>
      <c r="I285" s="30"/>
      <c r="J285" s="30" t="s">
        <v>181</v>
      </c>
      <c r="K285" s="64">
        <v>0</v>
      </c>
      <c r="L285" s="143"/>
      <c r="M285" s="64">
        <f t="shared" si="21"/>
        <v>0</v>
      </c>
      <c r="N285" s="54" t="e">
        <f t="shared" si="22"/>
        <v>#DIV/0!</v>
      </c>
    </row>
    <row r="286" spans="1:14" ht="15" hidden="1" customHeight="1">
      <c r="A286" s="30" t="s">
        <v>419</v>
      </c>
      <c r="B286" s="30" t="s">
        <v>345</v>
      </c>
      <c r="C286" s="73">
        <v>45356</v>
      </c>
      <c r="D286" s="30">
        <v>605</v>
      </c>
      <c r="E286" s="30" t="s">
        <v>346</v>
      </c>
      <c r="F286" s="30" t="s">
        <v>344</v>
      </c>
      <c r="G286" s="30" t="s">
        <v>498</v>
      </c>
      <c r="H286" s="30">
        <v>953883</v>
      </c>
      <c r="I286" s="30"/>
      <c r="J286" s="30" t="s">
        <v>182</v>
      </c>
      <c r="K286" s="64">
        <v>0</v>
      </c>
      <c r="L286" s="143"/>
      <c r="M286" s="64">
        <f t="shared" si="21"/>
        <v>0</v>
      </c>
      <c r="N286" s="54" t="e">
        <f t="shared" si="22"/>
        <v>#DIV/0!</v>
      </c>
    </row>
    <row r="287" spans="1:14" ht="15" hidden="1" customHeight="1">
      <c r="A287" s="30" t="s">
        <v>419</v>
      </c>
      <c r="B287" s="30" t="s">
        <v>390</v>
      </c>
      <c r="C287" s="73">
        <v>45356</v>
      </c>
      <c r="D287" s="30">
        <v>605</v>
      </c>
      <c r="E287" s="30" t="s">
        <v>346</v>
      </c>
      <c r="F287" s="30" t="s">
        <v>344</v>
      </c>
      <c r="G287" s="30" t="s">
        <v>499</v>
      </c>
      <c r="H287" s="30">
        <v>968817</v>
      </c>
      <c r="I287" s="30"/>
      <c r="J287" s="30" t="s">
        <v>181</v>
      </c>
      <c r="K287" s="216">
        <v>525</v>
      </c>
      <c r="L287" s="143">
        <v>70.759</v>
      </c>
      <c r="M287" s="216">
        <f>K287-(L287+L288+L289+L290)</f>
        <v>298.505</v>
      </c>
      <c r="N287" s="217">
        <f>(L287+L288+L289+L290)/K287</f>
        <v>0.43141904761904765</v>
      </c>
    </row>
    <row r="288" spans="1:14" ht="15" hidden="1" customHeight="1">
      <c r="A288" s="30" t="s">
        <v>419</v>
      </c>
      <c r="B288" s="30" t="s">
        <v>390</v>
      </c>
      <c r="C288" s="73">
        <v>45356</v>
      </c>
      <c r="D288" s="30">
        <v>605</v>
      </c>
      <c r="E288" s="30" t="s">
        <v>346</v>
      </c>
      <c r="F288" s="30" t="s">
        <v>344</v>
      </c>
      <c r="G288" s="30" t="s">
        <v>500</v>
      </c>
      <c r="H288" s="30">
        <v>697885</v>
      </c>
      <c r="I288" s="30"/>
      <c r="J288" s="30" t="s">
        <v>181</v>
      </c>
      <c r="K288" s="216"/>
      <c r="L288" s="143">
        <v>66.441000000000003</v>
      </c>
      <c r="M288" s="216"/>
      <c r="N288" s="217"/>
    </row>
    <row r="289" spans="1:14" ht="15" hidden="1" customHeight="1">
      <c r="A289" s="30" t="s">
        <v>419</v>
      </c>
      <c r="B289" s="30" t="s">
        <v>390</v>
      </c>
      <c r="C289" s="73">
        <v>45356</v>
      </c>
      <c r="D289" s="30">
        <v>605</v>
      </c>
      <c r="E289" s="30" t="s">
        <v>346</v>
      </c>
      <c r="F289" s="30" t="s">
        <v>344</v>
      </c>
      <c r="G289" s="30" t="s">
        <v>501</v>
      </c>
      <c r="H289" s="30">
        <v>697864</v>
      </c>
      <c r="I289" s="30"/>
      <c r="J289" s="30" t="s">
        <v>181</v>
      </c>
      <c r="K289" s="216"/>
      <c r="L289" s="143">
        <v>89.295000000000002</v>
      </c>
      <c r="M289" s="216"/>
      <c r="N289" s="217"/>
    </row>
    <row r="290" spans="1:14" ht="15" hidden="1" customHeight="1">
      <c r="A290" s="30" t="s">
        <v>419</v>
      </c>
      <c r="B290" s="30" t="s">
        <v>390</v>
      </c>
      <c r="C290" s="73">
        <v>45356</v>
      </c>
      <c r="D290" s="30">
        <v>605</v>
      </c>
      <c r="E290" s="30" t="s">
        <v>346</v>
      </c>
      <c r="F290" s="30" t="s">
        <v>344</v>
      </c>
      <c r="G290" s="30" t="s">
        <v>502</v>
      </c>
      <c r="H290" s="30">
        <v>699846</v>
      </c>
      <c r="I290" s="30"/>
      <c r="J290" s="30" t="s">
        <v>181</v>
      </c>
      <c r="K290" s="216"/>
      <c r="L290" s="143"/>
      <c r="M290" s="216"/>
      <c r="N290" s="217"/>
    </row>
    <row r="291" spans="1:14" ht="15" hidden="1" customHeight="1">
      <c r="A291" s="30" t="s">
        <v>419</v>
      </c>
      <c r="B291" s="30" t="s">
        <v>390</v>
      </c>
      <c r="C291" s="73">
        <v>45356</v>
      </c>
      <c r="D291" s="30">
        <v>605</v>
      </c>
      <c r="E291" s="30" t="s">
        <v>346</v>
      </c>
      <c r="F291" s="30" t="s">
        <v>344</v>
      </c>
      <c r="G291" s="30" t="s">
        <v>499</v>
      </c>
      <c r="H291" s="30">
        <v>968817</v>
      </c>
      <c r="I291" s="30"/>
      <c r="J291" s="30" t="s">
        <v>182</v>
      </c>
      <c r="K291" s="216">
        <v>975</v>
      </c>
      <c r="L291" s="143">
        <v>126.92100000000001</v>
      </c>
      <c r="M291" s="216">
        <f>K291-(L291+L292+L293+L294)</f>
        <v>710.25</v>
      </c>
      <c r="N291" s="217">
        <f>(L291+L292+L293+L294)/K291</f>
        <v>0.27153846153846156</v>
      </c>
    </row>
    <row r="292" spans="1:14" ht="15" hidden="1" customHeight="1">
      <c r="A292" s="30" t="s">
        <v>419</v>
      </c>
      <c r="B292" s="30" t="s">
        <v>390</v>
      </c>
      <c r="C292" s="73">
        <v>45356</v>
      </c>
      <c r="D292" s="30">
        <v>605</v>
      </c>
      <c r="E292" s="30" t="s">
        <v>346</v>
      </c>
      <c r="F292" s="30" t="s">
        <v>344</v>
      </c>
      <c r="G292" s="30" t="s">
        <v>500</v>
      </c>
      <c r="H292" s="30">
        <v>697885</v>
      </c>
      <c r="I292" s="30"/>
      <c r="J292" s="30" t="s">
        <v>182</v>
      </c>
      <c r="K292" s="216"/>
      <c r="L292" s="143">
        <v>87.069000000000003</v>
      </c>
      <c r="M292" s="216"/>
      <c r="N292" s="217"/>
    </row>
    <row r="293" spans="1:14" ht="15" hidden="1" customHeight="1">
      <c r="A293" s="30" t="s">
        <v>419</v>
      </c>
      <c r="B293" s="30" t="s">
        <v>390</v>
      </c>
      <c r="C293" s="73">
        <v>45356</v>
      </c>
      <c r="D293" s="30">
        <v>605</v>
      </c>
      <c r="E293" s="30" t="s">
        <v>346</v>
      </c>
      <c r="F293" s="30" t="s">
        <v>344</v>
      </c>
      <c r="G293" s="30" t="s">
        <v>501</v>
      </c>
      <c r="H293" s="30">
        <v>697864</v>
      </c>
      <c r="I293" s="30"/>
      <c r="J293" s="30" t="s">
        <v>182</v>
      </c>
      <c r="K293" s="216"/>
      <c r="L293" s="143">
        <v>50.76</v>
      </c>
      <c r="M293" s="216"/>
      <c r="N293" s="217"/>
    </row>
    <row r="294" spans="1:14" ht="15" hidden="1" customHeight="1">
      <c r="A294" s="30" t="s">
        <v>419</v>
      </c>
      <c r="B294" s="30" t="s">
        <v>390</v>
      </c>
      <c r="C294" s="73">
        <v>45356</v>
      </c>
      <c r="D294" s="30">
        <v>605</v>
      </c>
      <c r="E294" s="30" t="s">
        <v>346</v>
      </c>
      <c r="F294" s="30" t="s">
        <v>344</v>
      </c>
      <c r="G294" s="30" t="s">
        <v>502</v>
      </c>
      <c r="H294" s="30">
        <v>699846</v>
      </c>
      <c r="I294" s="30"/>
      <c r="J294" s="30" t="s">
        <v>182</v>
      </c>
      <c r="K294" s="216"/>
      <c r="L294" s="143"/>
      <c r="M294" s="216"/>
      <c r="N294" s="217"/>
    </row>
    <row r="295" spans="1:14" ht="15" hidden="1" customHeight="1">
      <c r="A295" s="30" t="s">
        <v>419</v>
      </c>
      <c r="B295" s="30" t="s">
        <v>390</v>
      </c>
      <c r="C295" s="73">
        <v>45356</v>
      </c>
      <c r="D295" s="30">
        <v>605</v>
      </c>
      <c r="E295" s="30" t="s">
        <v>346</v>
      </c>
      <c r="F295" s="30" t="s">
        <v>344</v>
      </c>
      <c r="G295" s="30" t="s">
        <v>503</v>
      </c>
      <c r="H295" s="30">
        <v>922515</v>
      </c>
      <c r="I295" s="30"/>
      <c r="J295" s="30" t="s">
        <v>181</v>
      </c>
      <c r="K295" s="216">
        <v>0</v>
      </c>
      <c r="L295" s="143"/>
      <c r="M295" s="216">
        <f>K295-(L295+L296)</f>
        <v>0</v>
      </c>
      <c r="N295" s="217" t="e">
        <f>(L295+L296)/K295</f>
        <v>#DIV/0!</v>
      </c>
    </row>
    <row r="296" spans="1:14" ht="15" hidden="1" customHeight="1">
      <c r="A296" s="30" t="s">
        <v>419</v>
      </c>
      <c r="B296" s="30" t="s">
        <v>390</v>
      </c>
      <c r="C296" s="73">
        <v>45356</v>
      </c>
      <c r="D296" s="30">
        <v>605</v>
      </c>
      <c r="E296" s="30" t="s">
        <v>346</v>
      </c>
      <c r="F296" s="30" t="s">
        <v>344</v>
      </c>
      <c r="G296" s="30" t="s">
        <v>504</v>
      </c>
      <c r="H296" s="30">
        <v>958198</v>
      </c>
      <c r="I296" s="30"/>
      <c r="J296" s="30" t="s">
        <v>181</v>
      </c>
      <c r="K296" s="216"/>
      <c r="L296" s="143"/>
      <c r="M296" s="216"/>
      <c r="N296" s="217"/>
    </row>
    <row r="297" spans="1:14" ht="15" hidden="1" customHeight="1">
      <c r="A297" s="30" t="s">
        <v>419</v>
      </c>
      <c r="B297" s="30" t="s">
        <v>390</v>
      </c>
      <c r="C297" s="73">
        <v>45356</v>
      </c>
      <c r="D297" s="30">
        <v>605</v>
      </c>
      <c r="E297" s="30" t="s">
        <v>346</v>
      </c>
      <c r="F297" s="30" t="s">
        <v>344</v>
      </c>
      <c r="G297" s="30" t="s">
        <v>503</v>
      </c>
      <c r="H297" s="30">
        <v>922515</v>
      </c>
      <c r="I297" s="30"/>
      <c r="J297" s="30" t="s">
        <v>182</v>
      </c>
      <c r="K297" s="216">
        <v>0</v>
      </c>
      <c r="L297" s="143"/>
      <c r="M297" s="216">
        <f>K297-(L297+L298)</f>
        <v>0</v>
      </c>
      <c r="N297" s="217" t="e">
        <f>(L297+L298)/K297</f>
        <v>#DIV/0!</v>
      </c>
    </row>
    <row r="298" spans="1:14" ht="15" hidden="1" customHeight="1">
      <c r="A298" s="30" t="s">
        <v>419</v>
      </c>
      <c r="B298" s="30" t="s">
        <v>390</v>
      </c>
      <c r="C298" s="73">
        <v>45356</v>
      </c>
      <c r="D298" s="30">
        <v>605</v>
      </c>
      <c r="E298" s="30" t="s">
        <v>346</v>
      </c>
      <c r="F298" s="30" t="s">
        <v>344</v>
      </c>
      <c r="G298" s="30" t="s">
        <v>504</v>
      </c>
      <c r="H298" s="30">
        <v>958198</v>
      </c>
      <c r="I298" s="30"/>
      <c r="J298" s="30" t="s">
        <v>182</v>
      </c>
      <c r="K298" s="216"/>
      <c r="L298" s="143"/>
      <c r="M298" s="216"/>
      <c r="N298" s="217"/>
    </row>
    <row r="299" spans="1:14" ht="15" hidden="1" customHeight="1">
      <c r="A299" s="30" t="s">
        <v>419</v>
      </c>
      <c r="B299" s="30" t="s">
        <v>390</v>
      </c>
      <c r="C299" s="73">
        <v>45356</v>
      </c>
      <c r="D299" s="30">
        <v>605</v>
      </c>
      <c r="E299" s="30" t="s">
        <v>346</v>
      </c>
      <c r="F299" s="30" t="s">
        <v>344</v>
      </c>
      <c r="G299" s="30" t="s">
        <v>505</v>
      </c>
      <c r="H299" s="30">
        <v>955877</v>
      </c>
      <c r="I299" s="30"/>
      <c r="J299" s="30" t="s">
        <v>181</v>
      </c>
      <c r="K299" s="216">
        <v>80</v>
      </c>
      <c r="L299" s="143">
        <v>54.243000000000002</v>
      </c>
      <c r="M299" s="216">
        <f>K299-(L299+L300)</f>
        <v>25.756999999999998</v>
      </c>
      <c r="N299" s="217">
        <f>(L299+L300)/K299</f>
        <v>0.67803750000000007</v>
      </c>
    </row>
    <row r="300" spans="1:14" ht="15" hidden="1" customHeight="1">
      <c r="A300" s="30" t="s">
        <v>419</v>
      </c>
      <c r="B300" s="30" t="s">
        <v>390</v>
      </c>
      <c r="C300" s="73">
        <v>45356</v>
      </c>
      <c r="D300" s="30">
        <v>605</v>
      </c>
      <c r="E300" s="30" t="s">
        <v>346</v>
      </c>
      <c r="F300" s="30" t="s">
        <v>344</v>
      </c>
      <c r="G300" s="30" t="s">
        <v>506</v>
      </c>
      <c r="H300" s="30">
        <v>926698</v>
      </c>
      <c r="I300" s="30"/>
      <c r="J300" s="30" t="s">
        <v>181</v>
      </c>
      <c r="K300" s="216"/>
      <c r="L300" s="143"/>
      <c r="M300" s="216"/>
      <c r="N300" s="217"/>
    </row>
    <row r="301" spans="1:14" ht="15" hidden="1" customHeight="1">
      <c r="A301" s="30" t="s">
        <v>419</v>
      </c>
      <c r="B301" s="30" t="s">
        <v>390</v>
      </c>
      <c r="C301" s="73">
        <v>45356</v>
      </c>
      <c r="D301" s="30">
        <v>605</v>
      </c>
      <c r="E301" s="30" t="s">
        <v>346</v>
      </c>
      <c r="F301" s="30" t="s">
        <v>344</v>
      </c>
      <c r="G301" s="30" t="s">
        <v>505</v>
      </c>
      <c r="H301" s="30">
        <v>955877</v>
      </c>
      <c r="I301" s="30"/>
      <c r="J301" s="30" t="s">
        <v>182</v>
      </c>
      <c r="K301" s="216">
        <v>170</v>
      </c>
      <c r="L301" s="143">
        <v>94.262</v>
      </c>
      <c r="M301" s="216">
        <f>K301-(L301+L302)</f>
        <v>75.738</v>
      </c>
      <c r="N301" s="217">
        <f>(L301+L302)/K301</f>
        <v>0.55448235294117643</v>
      </c>
    </row>
    <row r="302" spans="1:14" ht="15" hidden="1" customHeight="1">
      <c r="A302" s="30" t="s">
        <v>419</v>
      </c>
      <c r="B302" s="30" t="s">
        <v>390</v>
      </c>
      <c r="C302" s="73">
        <v>45356</v>
      </c>
      <c r="D302" s="30">
        <v>605</v>
      </c>
      <c r="E302" s="30" t="s">
        <v>346</v>
      </c>
      <c r="F302" s="30" t="s">
        <v>344</v>
      </c>
      <c r="G302" s="30" t="s">
        <v>506</v>
      </c>
      <c r="H302" s="30">
        <v>926698</v>
      </c>
      <c r="I302" s="30"/>
      <c r="J302" s="30" t="s">
        <v>182</v>
      </c>
      <c r="K302" s="216"/>
      <c r="L302" s="143"/>
      <c r="M302" s="216"/>
      <c r="N302" s="217"/>
    </row>
    <row r="303" spans="1:14" ht="15" hidden="1" customHeight="1">
      <c r="A303" s="30" t="s">
        <v>419</v>
      </c>
      <c r="B303" s="30" t="s">
        <v>345</v>
      </c>
      <c r="C303" s="73">
        <v>45356</v>
      </c>
      <c r="D303" s="30">
        <v>605</v>
      </c>
      <c r="E303" s="30" t="s">
        <v>346</v>
      </c>
      <c r="F303" s="30" t="s">
        <v>344</v>
      </c>
      <c r="G303" s="30" t="s">
        <v>507</v>
      </c>
      <c r="H303" s="30">
        <v>697636</v>
      </c>
      <c r="I303" s="30"/>
      <c r="J303" s="30" t="s">
        <v>181</v>
      </c>
      <c r="K303" s="64">
        <v>76</v>
      </c>
      <c r="L303" s="143">
        <v>46.817999999999998</v>
      </c>
      <c r="M303" s="64">
        <f>K303-L303</f>
        <v>29.182000000000002</v>
      </c>
      <c r="N303" s="54">
        <f>L303/K303</f>
        <v>0.61602631578947364</v>
      </c>
    </row>
    <row r="304" spans="1:14" ht="15" hidden="1" customHeight="1">
      <c r="A304" s="30" t="s">
        <v>419</v>
      </c>
      <c r="B304" s="30" t="s">
        <v>345</v>
      </c>
      <c r="C304" s="73">
        <v>45356</v>
      </c>
      <c r="D304" s="30">
        <v>605</v>
      </c>
      <c r="E304" s="30" t="s">
        <v>346</v>
      </c>
      <c r="F304" s="30" t="s">
        <v>344</v>
      </c>
      <c r="G304" s="30" t="s">
        <v>507</v>
      </c>
      <c r="H304" s="30">
        <v>697636</v>
      </c>
      <c r="I304" s="30"/>
      <c r="J304" s="30" t="s">
        <v>182</v>
      </c>
      <c r="K304" s="64">
        <v>124</v>
      </c>
      <c r="L304" s="143">
        <v>87.436999999999998</v>
      </c>
      <c r="M304" s="64">
        <f>K304-L304</f>
        <v>36.563000000000002</v>
      </c>
      <c r="N304" s="54">
        <f>L304/K304</f>
        <v>0.70513709677419356</v>
      </c>
    </row>
    <row r="305" spans="1:14" ht="15" hidden="1" customHeight="1">
      <c r="A305" s="30" t="s">
        <v>419</v>
      </c>
      <c r="B305" s="30" t="s">
        <v>345</v>
      </c>
      <c r="C305" s="73">
        <v>45356</v>
      </c>
      <c r="D305" s="30">
        <v>605</v>
      </c>
      <c r="E305" s="30" t="s">
        <v>346</v>
      </c>
      <c r="F305" s="30" t="s">
        <v>344</v>
      </c>
      <c r="G305" s="30" t="s">
        <v>440</v>
      </c>
      <c r="H305" s="30">
        <v>953832</v>
      </c>
      <c r="I305" s="30"/>
      <c r="J305" s="30" t="s">
        <v>181</v>
      </c>
      <c r="K305" s="64">
        <v>52.5</v>
      </c>
      <c r="L305" s="143">
        <v>64.034000000000006</v>
      </c>
      <c r="M305" s="64">
        <f>K305-L305</f>
        <v>-11.534000000000006</v>
      </c>
      <c r="N305" s="54">
        <f>L305/K305</f>
        <v>1.2196952380952382</v>
      </c>
    </row>
    <row r="306" spans="1:14" ht="15" hidden="1" customHeight="1">
      <c r="A306" s="30" t="s">
        <v>419</v>
      </c>
      <c r="B306" s="30" t="s">
        <v>345</v>
      </c>
      <c r="C306" s="73">
        <v>45356</v>
      </c>
      <c r="D306" s="30">
        <v>605</v>
      </c>
      <c r="E306" s="30" t="s">
        <v>346</v>
      </c>
      <c r="F306" s="30" t="s">
        <v>344</v>
      </c>
      <c r="G306" s="30" t="s">
        <v>440</v>
      </c>
      <c r="H306" s="30">
        <v>953832</v>
      </c>
      <c r="I306" s="30"/>
      <c r="J306" s="30" t="s">
        <v>182</v>
      </c>
      <c r="K306" s="64">
        <v>97.5</v>
      </c>
      <c r="L306" s="143">
        <v>16.469000000000001</v>
      </c>
      <c r="M306" s="64">
        <f>K306-L306</f>
        <v>81.031000000000006</v>
      </c>
      <c r="N306" s="54">
        <f>L306/K306</f>
        <v>0.16891282051282053</v>
      </c>
    </row>
    <row r="307" spans="1:14" ht="15" hidden="1" customHeight="1">
      <c r="A307" s="30" t="s">
        <v>419</v>
      </c>
      <c r="B307" s="30" t="s">
        <v>390</v>
      </c>
      <c r="C307" s="73">
        <v>45356</v>
      </c>
      <c r="D307" s="30">
        <v>605</v>
      </c>
      <c r="E307" s="30" t="s">
        <v>346</v>
      </c>
      <c r="F307" s="30" t="s">
        <v>344</v>
      </c>
      <c r="G307" s="30" t="s">
        <v>436</v>
      </c>
      <c r="H307" s="30">
        <v>923199</v>
      </c>
      <c r="I307" s="30"/>
      <c r="J307" s="30" t="s">
        <v>181</v>
      </c>
      <c r="K307" s="216">
        <v>175</v>
      </c>
      <c r="L307" s="143">
        <v>241.20599999999999</v>
      </c>
      <c r="M307" s="216">
        <f>K307-(L307+L308)</f>
        <v>-91</v>
      </c>
      <c r="N307" s="217">
        <f>(L307+L308)/K307</f>
        <v>1.52</v>
      </c>
    </row>
    <row r="308" spans="1:14" ht="15" hidden="1" customHeight="1">
      <c r="A308" s="30" t="s">
        <v>419</v>
      </c>
      <c r="B308" s="30" t="s">
        <v>390</v>
      </c>
      <c r="C308" s="73">
        <v>45356</v>
      </c>
      <c r="D308" s="30">
        <v>605</v>
      </c>
      <c r="E308" s="30" t="s">
        <v>346</v>
      </c>
      <c r="F308" s="30" t="s">
        <v>344</v>
      </c>
      <c r="G308" s="30" t="s">
        <v>437</v>
      </c>
      <c r="H308" s="30">
        <v>964068</v>
      </c>
      <c r="I308" s="30"/>
      <c r="J308" s="30" t="s">
        <v>181</v>
      </c>
      <c r="K308" s="216"/>
      <c r="L308" s="143">
        <v>24.794</v>
      </c>
      <c r="M308" s="216"/>
      <c r="N308" s="217"/>
    </row>
    <row r="309" spans="1:14" ht="15" hidden="1" customHeight="1">
      <c r="A309" s="30" t="s">
        <v>419</v>
      </c>
      <c r="B309" s="30" t="s">
        <v>390</v>
      </c>
      <c r="C309" s="73">
        <v>45356</v>
      </c>
      <c r="D309" s="30">
        <v>605</v>
      </c>
      <c r="E309" s="30" t="s">
        <v>346</v>
      </c>
      <c r="F309" s="30" t="s">
        <v>344</v>
      </c>
      <c r="G309" s="30" t="s">
        <v>436</v>
      </c>
      <c r="H309" s="30">
        <v>923199</v>
      </c>
      <c r="I309" s="30"/>
      <c r="J309" s="30" t="s">
        <v>182</v>
      </c>
      <c r="K309" s="216">
        <v>325</v>
      </c>
      <c r="L309" s="143">
        <v>211.511</v>
      </c>
      <c r="M309" s="216">
        <f>K309-(L309+L310)</f>
        <v>91</v>
      </c>
      <c r="N309" s="217">
        <f>(L309+L310)/K309</f>
        <v>0.72</v>
      </c>
    </row>
    <row r="310" spans="1:14" ht="15" hidden="1" customHeight="1">
      <c r="A310" s="30" t="s">
        <v>419</v>
      </c>
      <c r="B310" s="30" t="s">
        <v>390</v>
      </c>
      <c r="C310" s="73">
        <v>45356</v>
      </c>
      <c r="D310" s="30">
        <v>605</v>
      </c>
      <c r="E310" s="30" t="s">
        <v>346</v>
      </c>
      <c r="F310" s="30" t="s">
        <v>344</v>
      </c>
      <c r="G310" s="30" t="s">
        <v>437</v>
      </c>
      <c r="H310" s="30">
        <v>964068</v>
      </c>
      <c r="I310" s="30"/>
      <c r="J310" s="30" t="s">
        <v>182</v>
      </c>
      <c r="K310" s="216"/>
      <c r="L310" s="143">
        <v>22.489000000000001</v>
      </c>
      <c r="M310" s="216"/>
      <c r="N310" s="217"/>
    </row>
    <row r="311" spans="1:14" ht="15" hidden="1" customHeight="1">
      <c r="A311" s="30" t="s">
        <v>419</v>
      </c>
      <c r="B311" s="30" t="s">
        <v>345</v>
      </c>
      <c r="C311" s="73">
        <v>45356</v>
      </c>
      <c r="D311" s="30">
        <v>605</v>
      </c>
      <c r="E311" s="30" t="s">
        <v>346</v>
      </c>
      <c r="F311" s="30" t="s">
        <v>344</v>
      </c>
      <c r="G311" s="30" t="s">
        <v>508</v>
      </c>
      <c r="H311" s="30">
        <v>952004</v>
      </c>
      <c r="I311" s="30"/>
      <c r="J311" s="30" t="s">
        <v>181</v>
      </c>
      <c r="K311" s="64">
        <v>0</v>
      </c>
      <c r="L311" s="143"/>
      <c r="M311" s="64">
        <f>K311-L311</f>
        <v>0</v>
      </c>
      <c r="N311" s="54" t="e">
        <f>L311/K311</f>
        <v>#DIV/0!</v>
      </c>
    </row>
    <row r="312" spans="1:14" ht="15" hidden="1" customHeight="1">
      <c r="A312" s="30" t="s">
        <v>419</v>
      </c>
      <c r="B312" s="30" t="s">
        <v>345</v>
      </c>
      <c r="C312" s="73">
        <v>45356</v>
      </c>
      <c r="D312" s="30">
        <v>605</v>
      </c>
      <c r="E312" s="30" t="s">
        <v>346</v>
      </c>
      <c r="F312" s="30" t="s">
        <v>344</v>
      </c>
      <c r="G312" s="30" t="s">
        <v>508</v>
      </c>
      <c r="H312" s="30">
        <v>952004</v>
      </c>
      <c r="I312" s="30"/>
      <c r="J312" s="30" t="s">
        <v>182</v>
      </c>
      <c r="K312" s="64">
        <v>0</v>
      </c>
      <c r="L312" s="143"/>
      <c r="M312" s="64">
        <f>K312-L312</f>
        <v>0</v>
      </c>
      <c r="N312" s="54" t="e">
        <f>L312/K312</f>
        <v>#DIV/0!</v>
      </c>
    </row>
    <row r="313" spans="1:14" ht="15" hidden="1" customHeight="1">
      <c r="A313" s="30" t="s">
        <v>419</v>
      </c>
      <c r="B313" s="30" t="s">
        <v>345</v>
      </c>
      <c r="C313" s="73">
        <v>45356</v>
      </c>
      <c r="D313" s="30">
        <v>605</v>
      </c>
      <c r="E313" s="30" t="s">
        <v>346</v>
      </c>
      <c r="F313" s="30" t="s">
        <v>344</v>
      </c>
      <c r="G313" s="30" t="s">
        <v>509</v>
      </c>
      <c r="H313" s="30">
        <v>955617</v>
      </c>
      <c r="I313" s="30"/>
      <c r="J313" s="30" t="s">
        <v>181</v>
      </c>
      <c r="K313" s="64">
        <v>52.5</v>
      </c>
      <c r="L313" s="143">
        <v>7.0949999999999998</v>
      </c>
      <c r="M313" s="64">
        <f>K313-L313</f>
        <v>45.405000000000001</v>
      </c>
      <c r="N313" s="54">
        <f>L313/K313</f>
        <v>0.13514285714285715</v>
      </c>
    </row>
    <row r="314" spans="1:14" ht="15" hidden="1" customHeight="1">
      <c r="A314" s="30" t="s">
        <v>419</v>
      </c>
      <c r="B314" s="30" t="s">
        <v>345</v>
      </c>
      <c r="C314" s="73">
        <v>45356</v>
      </c>
      <c r="D314" s="30">
        <v>605</v>
      </c>
      <c r="E314" s="30" t="s">
        <v>346</v>
      </c>
      <c r="F314" s="30" t="s">
        <v>344</v>
      </c>
      <c r="G314" s="30" t="s">
        <v>509</v>
      </c>
      <c r="H314" s="30">
        <v>955617</v>
      </c>
      <c r="I314" s="30"/>
      <c r="J314" s="30" t="s">
        <v>182</v>
      </c>
      <c r="K314" s="64">
        <v>97.5</v>
      </c>
      <c r="L314" s="143">
        <v>3.4950000000000001</v>
      </c>
      <c r="M314" s="64">
        <f>K314-L314</f>
        <v>94.004999999999995</v>
      </c>
      <c r="N314" s="54">
        <f>L314/K314</f>
        <v>3.5846153846153847E-2</v>
      </c>
    </row>
    <row r="315" spans="1:14" ht="15" hidden="1" customHeight="1">
      <c r="A315" s="30" t="s">
        <v>419</v>
      </c>
      <c r="B315" s="30" t="s">
        <v>390</v>
      </c>
      <c r="C315" s="73">
        <v>45356</v>
      </c>
      <c r="D315" s="30">
        <v>605</v>
      </c>
      <c r="E315" s="30" t="s">
        <v>346</v>
      </c>
      <c r="F315" s="30" t="s">
        <v>344</v>
      </c>
      <c r="G315" s="30" t="s">
        <v>510</v>
      </c>
      <c r="H315" s="30">
        <v>969061</v>
      </c>
      <c r="I315" s="30"/>
      <c r="J315" s="30" t="s">
        <v>181</v>
      </c>
      <c r="K315" s="216">
        <v>105</v>
      </c>
      <c r="L315" s="143"/>
      <c r="M315" s="216">
        <f>K315-(L315+L316)</f>
        <v>105</v>
      </c>
      <c r="N315" s="217">
        <f>(L315+L316)/K315</f>
        <v>0</v>
      </c>
    </row>
    <row r="316" spans="1:14" ht="15" hidden="1" customHeight="1">
      <c r="A316" s="30" t="s">
        <v>419</v>
      </c>
      <c r="B316" s="30" t="s">
        <v>390</v>
      </c>
      <c r="C316" s="73">
        <v>45356</v>
      </c>
      <c r="D316" s="30">
        <v>605</v>
      </c>
      <c r="E316" s="30" t="s">
        <v>346</v>
      </c>
      <c r="F316" s="30" t="s">
        <v>344</v>
      </c>
      <c r="G316" s="30" t="s">
        <v>511</v>
      </c>
      <c r="H316" s="30">
        <v>969493</v>
      </c>
      <c r="I316" s="30"/>
      <c r="J316" s="30" t="s">
        <v>181</v>
      </c>
      <c r="K316" s="216"/>
      <c r="L316" s="143"/>
      <c r="M316" s="216"/>
      <c r="N316" s="217"/>
    </row>
    <row r="317" spans="1:14" ht="15" hidden="1" customHeight="1">
      <c r="A317" s="30" t="s">
        <v>419</v>
      </c>
      <c r="B317" s="30" t="s">
        <v>390</v>
      </c>
      <c r="C317" s="73">
        <v>45356</v>
      </c>
      <c r="D317" s="30">
        <v>605</v>
      </c>
      <c r="E317" s="30" t="s">
        <v>346</v>
      </c>
      <c r="F317" s="30" t="s">
        <v>344</v>
      </c>
      <c r="G317" s="30" t="s">
        <v>510</v>
      </c>
      <c r="H317" s="30">
        <v>969061</v>
      </c>
      <c r="I317" s="30"/>
      <c r="J317" s="30" t="s">
        <v>182</v>
      </c>
      <c r="K317" s="216">
        <v>195</v>
      </c>
      <c r="L317" s="143"/>
      <c r="M317" s="216">
        <f>K317-(L317+L318)</f>
        <v>195</v>
      </c>
      <c r="N317" s="217">
        <f>(L317+L318)/K317</f>
        <v>0</v>
      </c>
    </row>
    <row r="318" spans="1:14" ht="15" hidden="1" customHeight="1">
      <c r="A318" s="30" t="s">
        <v>419</v>
      </c>
      <c r="B318" s="30" t="s">
        <v>390</v>
      </c>
      <c r="C318" s="73">
        <v>45356</v>
      </c>
      <c r="D318" s="30">
        <v>605</v>
      </c>
      <c r="E318" s="30" t="s">
        <v>346</v>
      </c>
      <c r="F318" s="30" t="s">
        <v>344</v>
      </c>
      <c r="G318" s="30" t="s">
        <v>511</v>
      </c>
      <c r="H318" s="30">
        <v>969493</v>
      </c>
      <c r="I318" s="30"/>
      <c r="J318" s="30" t="s">
        <v>182</v>
      </c>
      <c r="K318" s="216"/>
      <c r="L318" s="143"/>
      <c r="M318" s="216"/>
      <c r="N318" s="217"/>
    </row>
    <row r="319" spans="1:14" ht="15" hidden="1" customHeight="1">
      <c r="A319" s="30" t="s">
        <v>419</v>
      </c>
      <c r="B319" s="30" t="s">
        <v>345</v>
      </c>
      <c r="C319" s="73">
        <v>45356</v>
      </c>
      <c r="D319" s="30">
        <v>605</v>
      </c>
      <c r="E319" s="30" t="s">
        <v>346</v>
      </c>
      <c r="F319" s="30" t="s">
        <v>344</v>
      </c>
      <c r="G319" s="30" t="s">
        <v>512</v>
      </c>
      <c r="H319" s="30">
        <v>697288</v>
      </c>
      <c r="I319" s="30"/>
      <c r="J319" s="30" t="s">
        <v>181</v>
      </c>
      <c r="K319" s="64">
        <v>150</v>
      </c>
      <c r="L319" s="143">
        <v>326.95400000000001</v>
      </c>
      <c r="M319" s="64">
        <f>K319-L319</f>
        <v>-176.95400000000001</v>
      </c>
      <c r="N319" s="54">
        <f>L319/K319</f>
        <v>2.1796933333333333</v>
      </c>
    </row>
    <row r="320" spans="1:14" ht="15" hidden="1" customHeight="1">
      <c r="A320" s="30" t="s">
        <v>419</v>
      </c>
      <c r="B320" s="30" t="s">
        <v>345</v>
      </c>
      <c r="C320" s="73">
        <v>45356</v>
      </c>
      <c r="D320" s="30">
        <v>605</v>
      </c>
      <c r="E320" s="30" t="s">
        <v>346</v>
      </c>
      <c r="F320" s="30" t="s">
        <v>344</v>
      </c>
      <c r="G320" s="30" t="s">
        <v>512</v>
      </c>
      <c r="H320" s="30">
        <v>697288</v>
      </c>
      <c r="I320" s="30"/>
      <c r="J320" s="30" t="s">
        <v>182</v>
      </c>
      <c r="K320" s="64">
        <v>350</v>
      </c>
      <c r="L320" s="143">
        <v>134.608</v>
      </c>
      <c r="M320" s="64">
        <f>K320-L320</f>
        <v>215.392</v>
      </c>
      <c r="N320" s="54">
        <f>L320/K320</f>
        <v>0.38459428571428572</v>
      </c>
    </row>
    <row r="321" spans="1:14" ht="15" hidden="1" customHeight="1">
      <c r="A321" s="30" t="s">
        <v>385</v>
      </c>
      <c r="B321" s="30" t="s">
        <v>390</v>
      </c>
      <c r="C321" s="73">
        <v>45356</v>
      </c>
      <c r="D321" s="30">
        <v>607</v>
      </c>
      <c r="E321" s="30" t="s">
        <v>346</v>
      </c>
      <c r="F321" s="30" t="s">
        <v>344</v>
      </c>
      <c r="G321" s="30" t="s">
        <v>513</v>
      </c>
      <c r="H321" s="30">
        <v>697914</v>
      </c>
      <c r="I321" s="30"/>
      <c r="J321" s="30" t="s">
        <v>181</v>
      </c>
      <c r="K321" s="216">
        <v>154</v>
      </c>
      <c r="L321" s="143"/>
      <c r="M321" s="216">
        <f>K321-(L321+L322)</f>
        <v>108.39</v>
      </c>
      <c r="N321" s="217">
        <f>(L321+L322)/K321</f>
        <v>0.29616883116883119</v>
      </c>
    </row>
    <row r="322" spans="1:14" ht="15" hidden="1" customHeight="1">
      <c r="A322" s="30" t="s">
        <v>385</v>
      </c>
      <c r="B322" s="30" t="s">
        <v>390</v>
      </c>
      <c r="C322" s="73">
        <v>45356</v>
      </c>
      <c r="D322" s="30">
        <v>607</v>
      </c>
      <c r="E322" s="30" t="s">
        <v>346</v>
      </c>
      <c r="F322" s="30" t="s">
        <v>344</v>
      </c>
      <c r="G322" s="30" t="s">
        <v>514</v>
      </c>
      <c r="H322" s="30">
        <v>698734</v>
      </c>
      <c r="I322" s="30"/>
      <c r="J322" s="30" t="s">
        <v>181</v>
      </c>
      <c r="K322" s="216"/>
      <c r="L322" s="143">
        <v>45.61</v>
      </c>
      <c r="M322" s="216"/>
      <c r="N322" s="217"/>
    </row>
    <row r="323" spans="1:14" ht="15" hidden="1" customHeight="1">
      <c r="A323" s="30" t="s">
        <v>385</v>
      </c>
      <c r="B323" s="30" t="s">
        <v>390</v>
      </c>
      <c r="C323" s="73">
        <v>45356</v>
      </c>
      <c r="D323" s="30">
        <v>607</v>
      </c>
      <c r="E323" s="30" t="s">
        <v>346</v>
      </c>
      <c r="F323" s="30" t="s">
        <v>344</v>
      </c>
      <c r="G323" s="30" t="s">
        <v>513</v>
      </c>
      <c r="H323" s="30">
        <v>697914</v>
      </c>
      <c r="I323" s="30"/>
      <c r="J323" s="30" t="s">
        <v>182</v>
      </c>
      <c r="K323" s="216">
        <v>296</v>
      </c>
      <c r="L323" s="143"/>
      <c r="M323" s="216">
        <f>K323-(L323+L324)</f>
        <v>183.75</v>
      </c>
      <c r="N323" s="217">
        <f>(L323+L324)/K323</f>
        <v>0.37922297297297297</v>
      </c>
    </row>
    <row r="324" spans="1:14" ht="15" hidden="1" customHeight="1">
      <c r="A324" s="30" t="s">
        <v>385</v>
      </c>
      <c r="B324" s="30" t="s">
        <v>390</v>
      </c>
      <c r="C324" s="73">
        <v>45356</v>
      </c>
      <c r="D324" s="30">
        <v>607</v>
      </c>
      <c r="E324" s="30" t="s">
        <v>346</v>
      </c>
      <c r="F324" s="30" t="s">
        <v>344</v>
      </c>
      <c r="G324" s="30" t="s">
        <v>514</v>
      </c>
      <c r="H324" s="30">
        <v>698734</v>
      </c>
      <c r="I324" s="30"/>
      <c r="J324" s="30" t="s">
        <v>182</v>
      </c>
      <c r="K324" s="216"/>
      <c r="L324" s="143">
        <v>112.25</v>
      </c>
      <c r="M324" s="216"/>
      <c r="N324" s="217"/>
    </row>
    <row r="325" spans="1:14" ht="15" hidden="1" customHeight="1">
      <c r="A325" s="30" t="s">
        <v>517</v>
      </c>
      <c r="B325" s="30" t="s">
        <v>345</v>
      </c>
      <c r="C325" s="73">
        <v>45356</v>
      </c>
      <c r="D325" s="30">
        <v>606</v>
      </c>
      <c r="E325" s="30" t="s">
        <v>346</v>
      </c>
      <c r="F325" s="30" t="s">
        <v>344</v>
      </c>
      <c r="G325" s="30" t="s">
        <v>518</v>
      </c>
      <c r="H325" s="30">
        <v>924606</v>
      </c>
      <c r="I325" s="30"/>
      <c r="J325" s="30" t="s">
        <v>181</v>
      </c>
      <c r="K325" s="64">
        <v>49</v>
      </c>
      <c r="L325" s="143">
        <v>32.954999999999998</v>
      </c>
      <c r="M325" s="64">
        <f>K325-L325</f>
        <v>16.045000000000002</v>
      </c>
      <c r="N325" s="54">
        <f>L325/K325</f>
        <v>0.67255102040816328</v>
      </c>
    </row>
    <row r="326" spans="1:14" ht="15" hidden="1" customHeight="1">
      <c r="A326" s="30" t="s">
        <v>517</v>
      </c>
      <c r="B326" s="30" t="s">
        <v>345</v>
      </c>
      <c r="C326" s="73">
        <v>45356</v>
      </c>
      <c r="D326" s="30">
        <v>606</v>
      </c>
      <c r="E326" s="30" t="s">
        <v>346</v>
      </c>
      <c r="F326" s="30" t="s">
        <v>344</v>
      </c>
      <c r="G326" s="30" t="s">
        <v>518</v>
      </c>
      <c r="H326" s="30">
        <v>924606</v>
      </c>
      <c r="I326" s="30"/>
      <c r="J326" s="30" t="s">
        <v>182</v>
      </c>
      <c r="K326" s="64">
        <v>51</v>
      </c>
      <c r="L326" s="143">
        <v>67.045000000000002</v>
      </c>
      <c r="M326" s="64">
        <f>K326-L326</f>
        <v>-16.045000000000002</v>
      </c>
      <c r="N326" s="54">
        <f>L326/K326</f>
        <v>1.314607843137255</v>
      </c>
    </row>
    <row r="327" spans="1:14" ht="15" hidden="1" customHeight="1">
      <c r="A327" s="30" t="s">
        <v>517</v>
      </c>
      <c r="B327" s="30" t="s">
        <v>345</v>
      </c>
      <c r="C327" s="73">
        <v>45356</v>
      </c>
      <c r="D327" s="30">
        <v>606</v>
      </c>
      <c r="E327" s="30" t="s">
        <v>346</v>
      </c>
      <c r="F327" s="30" t="s">
        <v>344</v>
      </c>
      <c r="G327" s="30" t="s">
        <v>519</v>
      </c>
      <c r="H327" s="30">
        <v>964265</v>
      </c>
      <c r="I327" s="30"/>
      <c r="J327" s="30" t="s">
        <v>181</v>
      </c>
      <c r="K327" s="64">
        <v>71</v>
      </c>
      <c r="L327" s="143">
        <v>71</v>
      </c>
      <c r="M327" s="64">
        <f>K327-L327</f>
        <v>0</v>
      </c>
      <c r="N327" s="54">
        <f>L327/K327</f>
        <v>1</v>
      </c>
    </row>
    <row r="328" spans="1:14" ht="15" hidden="1" customHeight="1">
      <c r="A328" s="30" t="s">
        <v>517</v>
      </c>
      <c r="B328" s="30" t="s">
        <v>345</v>
      </c>
      <c r="C328" s="73">
        <v>45356</v>
      </c>
      <c r="D328" s="30">
        <v>606</v>
      </c>
      <c r="E328" s="30" t="s">
        <v>346</v>
      </c>
      <c r="F328" s="30" t="s">
        <v>344</v>
      </c>
      <c r="G328" s="30" t="s">
        <v>519</v>
      </c>
      <c r="H328" s="30">
        <v>964265</v>
      </c>
      <c r="I328" s="30"/>
      <c r="J328" s="30" t="s">
        <v>182</v>
      </c>
      <c r="K328" s="64">
        <v>73</v>
      </c>
      <c r="L328" s="143">
        <v>3.105</v>
      </c>
      <c r="M328" s="64">
        <f>K328-L328</f>
        <v>69.894999999999996</v>
      </c>
      <c r="N328" s="54">
        <f>L328/K328</f>
        <v>4.2534246575342466E-2</v>
      </c>
    </row>
    <row r="329" spans="1:14" ht="15" hidden="1" customHeight="1">
      <c r="A329" s="30" t="s">
        <v>385</v>
      </c>
      <c r="B329" s="30" t="s">
        <v>390</v>
      </c>
      <c r="C329" s="73">
        <v>45356</v>
      </c>
      <c r="D329" s="30">
        <v>610</v>
      </c>
      <c r="E329" s="30" t="s">
        <v>346</v>
      </c>
      <c r="F329" s="30" t="s">
        <v>344</v>
      </c>
      <c r="G329" s="30" t="s">
        <v>520</v>
      </c>
      <c r="H329" s="30">
        <v>702184</v>
      </c>
      <c r="I329" s="30"/>
      <c r="J329" s="30" t="s">
        <v>181</v>
      </c>
      <c r="K329" s="216">
        <v>240</v>
      </c>
      <c r="L329" s="143"/>
      <c r="M329" s="216">
        <f>K329-(L329+L330+L331)</f>
        <v>240</v>
      </c>
      <c r="N329" s="217">
        <f>(L329+L330+L331)/K329</f>
        <v>0</v>
      </c>
    </row>
    <row r="330" spans="1:14" ht="15" hidden="1" customHeight="1">
      <c r="A330" s="30" t="s">
        <v>385</v>
      </c>
      <c r="B330" s="30" t="s">
        <v>390</v>
      </c>
      <c r="C330" s="73">
        <v>45356</v>
      </c>
      <c r="D330" s="30">
        <v>610</v>
      </c>
      <c r="E330" s="30" t="s">
        <v>346</v>
      </c>
      <c r="F330" s="30" t="s">
        <v>344</v>
      </c>
      <c r="G330" s="30" t="s">
        <v>521</v>
      </c>
      <c r="H330" s="30">
        <v>700752</v>
      </c>
      <c r="I330" s="30"/>
      <c r="J330" s="30" t="s">
        <v>181</v>
      </c>
      <c r="K330" s="216"/>
      <c r="L330" s="143"/>
      <c r="M330" s="216"/>
      <c r="N330" s="217"/>
    </row>
    <row r="331" spans="1:14" ht="15" hidden="1" customHeight="1">
      <c r="A331" s="30" t="s">
        <v>385</v>
      </c>
      <c r="B331" s="30" t="s">
        <v>390</v>
      </c>
      <c r="C331" s="73">
        <v>45356</v>
      </c>
      <c r="D331" s="30">
        <v>610</v>
      </c>
      <c r="E331" s="30" t="s">
        <v>346</v>
      </c>
      <c r="F331" s="30" t="s">
        <v>344</v>
      </c>
      <c r="G331" s="30" t="s">
        <v>522</v>
      </c>
      <c r="H331" s="30">
        <v>702132</v>
      </c>
      <c r="I331" s="30"/>
      <c r="J331" s="30" t="s">
        <v>181</v>
      </c>
      <c r="K331" s="216"/>
      <c r="L331" s="143"/>
      <c r="M331" s="216"/>
      <c r="N331" s="217"/>
    </row>
    <row r="332" spans="1:14" ht="15" hidden="1" customHeight="1">
      <c r="A332" s="30" t="s">
        <v>385</v>
      </c>
      <c r="B332" s="30" t="s">
        <v>390</v>
      </c>
      <c r="C332" s="73">
        <v>45356</v>
      </c>
      <c r="D332" s="30">
        <v>610</v>
      </c>
      <c r="E332" s="30" t="s">
        <v>346</v>
      </c>
      <c r="F332" s="30" t="s">
        <v>344</v>
      </c>
      <c r="G332" s="30" t="s">
        <v>520</v>
      </c>
      <c r="H332" s="30">
        <v>702184</v>
      </c>
      <c r="I332" s="30"/>
      <c r="J332" s="30" t="s">
        <v>182</v>
      </c>
      <c r="K332" s="216">
        <v>460</v>
      </c>
      <c r="L332" s="143"/>
      <c r="M332" s="216">
        <f>K332-(L332+L333+L334)</f>
        <v>460</v>
      </c>
      <c r="N332" s="217">
        <f>(L332+L333+L334)/K332</f>
        <v>0</v>
      </c>
    </row>
    <row r="333" spans="1:14" ht="15" hidden="1" customHeight="1">
      <c r="A333" s="30" t="s">
        <v>385</v>
      </c>
      <c r="B333" s="30" t="s">
        <v>390</v>
      </c>
      <c r="C333" s="73">
        <v>45356</v>
      </c>
      <c r="D333" s="30">
        <v>610</v>
      </c>
      <c r="E333" s="30" t="s">
        <v>346</v>
      </c>
      <c r="F333" s="30" t="s">
        <v>344</v>
      </c>
      <c r="G333" s="30" t="s">
        <v>521</v>
      </c>
      <c r="H333" s="30">
        <v>700752</v>
      </c>
      <c r="I333" s="30"/>
      <c r="J333" s="30" t="s">
        <v>182</v>
      </c>
      <c r="K333" s="216"/>
      <c r="L333" s="143"/>
      <c r="M333" s="216"/>
      <c r="N333" s="217"/>
    </row>
    <row r="334" spans="1:14" ht="15" hidden="1" customHeight="1">
      <c r="A334" s="30" t="s">
        <v>385</v>
      </c>
      <c r="B334" s="30" t="s">
        <v>390</v>
      </c>
      <c r="C334" s="73">
        <v>45356</v>
      </c>
      <c r="D334" s="30">
        <v>610</v>
      </c>
      <c r="E334" s="30" t="s">
        <v>346</v>
      </c>
      <c r="F334" s="30" t="s">
        <v>344</v>
      </c>
      <c r="G334" s="30" t="s">
        <v>522</v>
      </c>
      <c r="H334" s="30">
        <v>702132</v>
      </c>
      <c r="I334" s="30"/>
      <c r="J334" s="30" t="s">
        <v>182</v>
      </c>
      <c r="K334" s="216"/>
      <c r="L334" s="143"/>
      <c r="M334" s="216"/>
      <c r="N334" s="217"/>
    </row>
    <row r="335" spans="1:14" ht="15" hidden="1" customHeight="1">
      <c r="A335" s="30" t="s">
        <v>517</v>
      </c>
      <c r="B335" s="30" t="s">
        <v>345</v>
      </c>
      <c r="C335" s="73">
        <v>45343</v>
      </c>
      <c r="D335" s="30">
        <v>472</v>
      </c>
      <c r="E335" s="30" t="s">
        <v>346</v>
      </c>
      <c r="F335" s="30" t="s">
        <v>344</v>
      </c>
      <c r="G335" s="30" t="s">
        <v>594</v>
      </c>
      <c r="H335" s="30">
        <v>963589</v>
      </c>
      <c r="I335" s="30"/>
      <c r="J335" s="30" t="s">
        <v>181</v>
      </c>
      <c r="K335" s="64">
        <v>49</v>
      </c>
      <c r="L335" s="143">
        <v>49.002000000000002</v>
      </c>
      <c r="M335" s="64">
        <f t="shared" ref="M335:M381" si="23">K335-L335</f>
        <v>-2.0000000000024443E-3</v>
      </c>
      <c r="N335" s="54">
        <f t="shared" ref="N335:N381" si="24">L335/K335</f>
        <v>1.0000408163265306</v>
      </c>
    </row>
    <row r="336" spans="1:14" ht="15" hidden="1" customHeight="1">
      <c r="A336" s="30" t="s">
        <v>517</v>
      </c>
      <c r="B336" s="30" t="s">
        <v>345</v>
      </c>
      <c r="C336" s="73">
        <v>45343</v>
      </c>
      <c r="D336" s="30">
        <v>472</v>
      </c>
      <c r="E336" s="30" t="s">
        <v>346</v>
      </c>
      <c r="F336" s="30" t="s">
        <v>344</v>
      </c>
      <c r="G336" s="30" t="s">
        <v>594</v>
      </c>
      <c r="H336" s="30">
        <v>963589</v>
      </c>
      <c r="I336" s="30"/>
      <c r="J336" s="30" t="s">
        <v>182</v>
      </c>
      <c r="K336" s="64">
        <v>51</v>
      </c>
      <c r="L336" s="143">
        <v>51</v>
      </c>
      <c r="M336" s="64">
        <f t="shared" si="23"/>
        <v>0</v>
      </c>
      <c r="N336" s="54">
        <f t="shared" si="24"/>
        <v>1</v>
      </c>
    </row>
    <row r="337" spans="1:14" ht="15" hidden="1" customHeight="1">
      <c r="A337" s="30" t="s">
        <v>517</v>
      </c>
      <c r="B337" s="30" t="s">
        <v>345</v>
      </c>
      <c r="C337" s="73">
        <v>45343</v>
      </c>
      <c r="D337" s="30">
        <v>472</v>
      </c>
      <c r="E337" s="30" t="s">
        <v>346</v>
      </c>
      <c r="F337" s="30" t="s">
        <v>344</v>
      </c>
      <c r="G337" s="30" t="s">
        <v>439</v>
      </c>
      <c r="H337" s="30">
        <v>700197</v>
      </c>
      <c r="I337" s="30"/>
      <c r="J337" s="30" t="s">
        <v>181</v>
      </c>
      <c r="K337" s="64">
        <v>99</v>
      </c>
      <c r="L337" s="143">
        <v>74.688000000000002</v>
      </c>
      <c r="M337" s="64">
        <f t="shared" si="23"/>
        <v>24.311999999999998</v>
      </c>
      <c r="N337" s="54">
        <f t="shared" si="24"/>
        <v>0.75442424242424244</v>
      </c>
    </row>
    <row r="338" spans="1:14" ht="15" hidden="1" customHeight="1">
      <c r="A338" s="30" t="s">
        <v>517</v>
      </c>
      <c r="B338" s="30" t="s">
        <v>345</v>
      </c>
      <c r="C338" s="73">
        <v>45343</v>
      </c>
      <c r="D338" s="30">
        <v>472</v>
      </c>
      <c r="E338" s="30" t="s">
        <v>346</v>
      </c>
      <c r="F338" s="30" t="s">
        <v>344</v>
      </c>
      <c r="G338" s="30" t="s">
        <v>439</v>
      </c>
      <c r="H338" s="30">
        <v>700197</v>
      </c>
      <c r="I338" s="30"/>
      <c r="J338" s="30" t="s">
        <v>182</v>
      </c>
      <c r="K338" s="64">
        <v>101</v>
      </c>
      <c r="L338" s="143">
        <v>125.312</v>
      </c>
      <c r="M338" s="64">
        <f t="shared" si="23"/>
        <v>-24.311999999999998</v>
      </c>
      <c r="N338" s="54">
        <f t="shared" si="24"/>
        <v>1.2407128712871287</v>
      </c>
    </row>
    <row r="339" spans="1:14" ht="15" hidden="1" customHeight="1">
      <c r="A339" s="30" t="s">
        <v>517</v>
      </c>
      <c r="B339" s="30" t="s">
        <v>345</v>
      </c>
      <c r="C339" s="73">
        <v>45343</v>
      </c>
      <c r="D339" s="30">
        <v>472</v>
      </c>
      <c r="E339" s="30" t="s">
        <v>346</v>
      </c>
      <c r="F339" s="30" t="s">
        <v>344</v>
      </c>
      <c r="G339" s="30" t="s">
        <v>523</v>
      </c>
      <c r="H339" s="30">
        <v>701719</v>
      </c>
      <c r="I339" s="30"/>
      <c r="J339" s="30" t="s">
        <v>181</v>
      </c>
      <c r="K339" s="64">
        <v>49</v>
      </c>
      <c r="L339" s="143">
        <v>1.244</v>
      </c>
      <c r="M339" s="64">
        <f t="shared" si="23"/>
        <v>47.756</v>
      </c>
      <c r="N339" s="54">
        <f t="shared" si="24"/>
        <v>2.5387755102040815E-2</v>
      </c>
    </row>
    <row r="340" spans="1:14" ht="15" hidden="1" customHeight="1">
      <c r="A340" s="30" t="s">
        <v>517</v>
      </c>
      <c r="B340" s="30" t="s">
        <v>345</v>
      </c>
      <c r="C340" s="73">
        <v>45343</v>
      </c>
      <c r="D340" s="30">
        <v>472</v>
      </c>
      <c r="E340" s="30" t="s">
        <v>346</v>
      </c>
      <c r="F340" s="30" t="s">
        <v>344</v>
      </c>
      <c r="G340" s="30" t="s">
        <v>523</v>
      </c>
      <c r="H340" s="30">
        <v>701719</v>
      </c>
      <c r="I340" s="30"/>
      <c r="J340" s="30" t="s">
        <v>182</v>
      </c>
      <c r="K340" s="64">
        <v>51</v>
      </c>
      <c r="L340" s="143">
        <v>98.756</v>
      </c>
      <c r="M340" s="64">
        <f t="shared" si="23"/>
        <v>-47.756</v>
      </c>
      <c r="N340" s="54">
        <f t="shared" si="24"/>
        <v>1.9363921568627451</v>
      </c>
    </row>
    <row r="341" spans="1:14" ht="15" hidden="1" customHeight="1">
      <c r="A341" s="30" t="s">
        <v>517</v>
      </c>
      <c r="B341" s="30" t="s">
        <v>345</v>
      </c>
      <c r="C341" s="73">
        <v>45343</v>
      </c>
      <c r="D341" s="30">
        <v>472</v>
      </c>
      <c r="E341" s="30" t="s">
        <v>346</v>
      </c>
      <c r="F341" s="30" t="s">
        <v>344</v>
      </c>
      <c r="G341" s="30" t="s">
        <v>524</v>
      </c>
      <c r="H341" s="30">
        <v>962853</v>
      </c>
      <c r="I341" s="30"/>
      <c r="J341" s="30" t="s">
        <v>181</v>
      </c>
      <c r="K341" s="64">
        <v>99</v>
      </c>
      <c r="L341" s="143">
        <v>99</v>
      </c>
      <c r="M341" s="64">
        <f t="shared" si="23"/>
        <v>0</v>
      </c>
      <c r="N341" s="54">
        <f t="shared" si="24"/>
        <v>1</v>
      </c>
    </row>
    <row r="342" spans="1:14" ht="15" hidden="1" customHeight="1">
      <c r="A342" s="30" t="s">
        <v>517</v>
      </c>
      <c r="B342" s="30" t="s">
        <v>345</v>
      </c>
      <c r="C342" s="73">
        <v>45343</v>
      </c>
      <c r="D342" s="30">
        <v>472</v>
      </c>
      <c r="E342" s="30" t="s">
        <v>346</v>
      </c>
      <c r="F342" s="30" t="s">
        <v>344</v>
      </c>
      <c r="G342" s="30" t="s">
        <v>524</v>
      </c>
      <c r="H342" s="30">
        <v>962853</v>
      </c>
      <c r="I342" s="30"/>
      <c r="J342" s="30" t="s">
        <v>182</v>
      </c>
      <c r="K342" s="64">
        <v>101</v>
      </c>
      <c r="L342" s="143">
        <v>34.805</v>
      </c>
      <c r="M342" s="64">
        <f t="shared" si="23"/>
        <v>66.194999999999993</v>
      </c>
      <c r="N342" s="54">
        <f t="shared" si="24"/>
        <v>0.34460396039603958</v>
      </c>
    </row>
    <row r="343" spans="1:14" ht="15" hidden="1" customHeight="1">
      <c r="A343" s="30" t="s">
        <v>517</v>
      </c>
      <c r="B343" s="30" t="s">
        <v>345</v>
      </c>
      <c r="C343" s="73">
        <v>45343</v>
      </c>
      <c r="D343" s="30">
        <v>472</v>
      </c>
      <c r="E343" s="30" t="s">
        <v>346</v>
      </c>
      <c r="F343" s="30" t="s">
        <v>344</v>
      </c>
      <c r="G343" s="30" t="s">
        <v>525</v>
      </c>
      <c r="H343" s="30">
        <v>965019</v>
      </c>
      <c r="I343" s="30"/>
      <c r="J343" s="30" t="s">
        <v>181</v>
      </c>
      <c r="K343" s="64">
        <v>40</v>
      </c>
      <c r="L343" s="143">
        <v>12.215</v>
      </c>
      <c r="M343" s="64">
        <f t="shared" si="23"/>
        <v>27.785</v>
      </c>
      <c r="N343" s="54">
        <f t="shared" si="24"/>
        <v>0.30537500000000001</v>
      </c>
    </row>
    <row r="344" spans="1:14" ht="15" hidden="1" customHeight="1">
      <c r="A344" s="30" t="s">
        <v>517</v>
      </c>
      <c r="B344" s="30" t="s">
        <v>345</v>
      </c>
      <c r="C344" s="73">
        <v>45343</v>
      </c>
      <c r="D344" s="30">
        <v>472</v>
      </c>
      <c r="E344" s="30" t="s">
        <v>346</v>
      </c>
      <c r="F344" s="30" t="s">
        <v>344</v>
      </c>
      <c r="G344" s="30" t="s">
        <v>525</v>
      </c>
      <c r="H344" s="30">
        <v>965019</v>
      </c>
      <c r="I344" s="30"/>
      <c r="J344" s="30" t="s">
        <v>182</v>
      </c>
      <c r="K344" s="64">
        <v>40</v>
      </c>
      <c r="L344" s="143">
        <v>4.7910000000000004</v>
      </c>
      <c r="M344" s="64">
        <f t="shared" si="23"/>
        <v>35.209000000000003</v>
      </c>
      <c r="N344" s="54">
        <f t="shared" si="24"/>
        <v>0.11977500000000001</v>
      </c>
    </row>
    <row r="345" spans="1:14" ht="15" hidden="1" customHeight="1">
      <c r="A345" s="30" t="s">
        <v>517</v>
      </c>
      <c r="B345" s="30" t="s">
        <v>345</v>
      </c>
      <c r="C345" s="73">
        <v>45343</v>
      </c>
      <c r="D345" s="30">
        <v>472</v>
      </c>
      <c r="E345" s="30" t="s">
        <v>346</v>
      </c>
      <c r="F345" s="30" t="s">
        <v>344</v>
      </c>
      <c r="G345" s="30" t="s">
        <v>526</v>
      </c>
      <c r="H345" s="30">
        <v>926674</v>
      </c>
      <c r="I345" s="30"/>
      <c r="J345" s="30" t="s">
        <v>181</v>
      </c>
      <c r="K345" s="64">
        <v>124</v>
      </c>
      <c r="L345" s="143">
        <v>124</v>
      </c>
      <c r="M345" s="64">
        <f t="shared" si="23"/>
        <v>0</v>
      </c>
      <c r="N345" s="54">
        <f t="shared" si="24"/>
        <v>1</v>
      </c>
    </row>
    <row r="346" spans="1:14" ht="15" hidden="1" customHeight="1">
      <c r="A346" s="30" t="s">
        <v>517</v>
      </c>
      <c r="B346" s="30" t="s">
        <v>345</v>
      </c>
      <c r="C346" s="73">
        <v>45343</v>
      </c>
      <c r="D346" s="30">
        <v>472</v>
      </c>
      <c r="E346" s="30" t="s">
        <v>346</v>
      </c>
      <c r="F346" s="30" t="s">
        <v>344</v>
      </c>
      <c r="G346" s="30" t="s">
        <v>526</v>
      </c>
      <c r="H346" s="30">
        <v>926674</v>
      </c>
      <c r="I346" s="30"/>
      <c r="J346" s="30" t="s">
        <v>182</v>
      </c>
      <c r="K346" s="64">
        <v>126</v>
      </c>
      <c r="L346" s="143">
        <v>125.01600000000001</v>
      </c>
      <c r="M346" s="64">
        <f t="shared" si="23"/>
        <v>0.98399999999999466</v>
      </c>
      <c r="N346" s="54">
        <f t="shared" si="24"/>
        <v>0.99219047619047618</v>
      </c>
    </row>
    <row r="347" spans="1:14" ht="15" hidden="1" customHeight="1">
      <c r="A347" s="30" t="s">
        <v>517</v>
      </c>
      <c r="B347" s="30" t="s">
        <v>345</v>
      </c>
      <c r="C347" s="73">
        <v>45343</v>
      </c>
      <c r="D347" s="30">
        <v>472</v>
      </c>
      <c r="E347" s="30" t="s">
        <v>346</v>
      </c>
      <c r="F347" s="30" t="s">
        <v>344</v>
      </c>
      <c r="G347" s="30" t="s">
        <v>527</v>
      </c>
      <c r="H347" s="30">
        <v>969765</v>
      </c>
      <c r="I347" s="30"/>
      <c r="J347" s="30" t="s">
        <v>181</v>
      </c>
      <c r="K347" s="64">
        <v>89</v>
      </c>
      <c r="L347" s="143">
        <v>19.077000000000002</v>
      </c>
      <c r="M347" s="64">
        <f t="shared" si="23"/>
        <v>69.923000000000002</v>
      </c>
      <c r="N347" s="54">
        <f t="shared" si="24"/>
        <v>0.21434831460674159</v>
      </c>
    </row>
    <row r="348" spans="1:14" ht="15" hidden="1" customHeight="1">
      <c r="A348" s="30" t="s">
        <v>517</v>
      </c>
      <c r="B348" s="30" t="s">
        <v>345</v>
      </c>
      <c r="C348" s="73">
        <v>45343</v>
      </c>
      <c r="D348" s="30">
        <v>472</v>
      </c>
      <c r="E348" s="30" t="s">
        <v>346</v>
      </c>
      <c r="F348" s="30" t="s">
        <v>344</v>
      </c>
      <c r="G348" s="30" t="s">
        <v>527</v>
      </c>
      <c r="H348" s="30">
        <v>969765</v>
      </c>
      <c r="I348" s="30"/>
      <c r="J348" s="30" t="s">
        <v>182</v>
      </c>
      <c r="K348" s="64">
        <v>91</v>
      </c>
      <c r="L348" s="143">
        <v>1.7330000000000001</v>
      </c>
      <c r="M348" s="64">
        <f t="shared" si="23"/>
        <v>89.266999999999996</v>
      </c>
      <c r="N348" s="54">
        <f t="shared" si="24"/>
        <v>1.9043956043956044E-2</v>
      </c>
    </row>
    <row r="349" spans="1:14" ht="15" hidden="1" customHeight="1">
      <c r="A349" s="30" t="s">
        <v>517</v>
      </c>
      <c r="B349" s="30" t="s">
        <v>345</v>
      </c>
      <c r="C349" s="73">
        <v>45343</v>
      </c>
      <c r="D349" s="30">
        <v>472</v>
      </c>
      <c r="E349" s="30" t="s">
        <v>346</v>
      </c>
      <c r="F349" s="30" t="s">
        <v>344</v>
      </c>
      <c r="G349" s="30" t="s">
        <v>528</v>
      </c>
      <c r="H349" s="30">
        <v>956044</v>
      </c>
      <c r="I349" s="30"/>
      <c r="J349" s="30" t="s">
        <v>181</v>
      </c>
      <c r="K349" s="64">
        <v>198</v>
      </c>
      <c r="L349" s="143"/>
      <c r="M349" s="64">
        <f t="shared" si="23"/>
        <v>198</v>
      </c>
      <c r="N349" s="54">
        <f t="shared" si="24"/>
        <v>0</v>
      </c>
    </row>
    <row r="350" spans="1:14" ht="15" hidden="1" customHeight="1">
      <c r="A350" s="30" t="s">
        <v>517</v>
      </c>
      <c r="B350" s="30" t="s">
        <v>345</v>
      </c>
      <c r="C350" s="73">
        <v>45343</v>
      </c>
      <c r="D350" s="30">
        <v>472</v>
      </c>
      <c r="E350" s="30" t="s">
        <v>346</v>
      </c>
      <c r="F350" s="30" t="s">
        <v>344</v>
      </c>
      <c r="G350" s="30" t="s">
        <v>528</v>
      </c>
      <c r="H350" s="30">
        <v>956044</v>
      </c>
      <c r="I350" s="30"/>
      <c r="J350" s="30" t="s">
        <v>182</v>
      </c>
      <c r="K350" s="64">
        <v>202</v>
      </c>
      <c r="L350" s="143"/>
      <c r="M350" s="64">
        <f t="shared" si="23"/>
        <v>202</v>
      </c>
      <c r="N350" s="54">
        <f t="shared" si="24"/>
        <v>0</v>
      </c>
    </row>
    <row r="351" spans="1:14" ht="15" hidden="1" customHeight="1">
      <c r="A351" s="30" t="s">
        <v>517</v>
      </c>
      <c r="B351" s="30" t="s">
        <v>345</v>
      </c>
      <c r="C351" s="73">
        <v>45343</v>
      </c>
      <c r="D351" s="30">
        <v>472</v>
      </c>
      <c r="E351" s="30" t="s">
        <v>346</v>
      </c>
      <c r="F351" s="30" t="s">
        <v>344</v>
      </c>
      <c r="G351" s="30" t="s">
        <v>529</v>
      </c>
      <c r="H351" s="30">
        <v>922513</v>
      </c>
      <c r="I351" s="30"/>
      <c r="J351" s="30" t="s">
        <v>181</v>
      </c>
      <c r="K351" s="64">
        <v>198</v>
      </c>
      <c r="L351" s="143">
        <v>100.417</v>
      </c>
      <c r="M351" s="64">
        <f t="shared" si="23"/>
        <v>97.582999999999998</v>
      </c>
      <c r="N351" s="54">
        <f t="shared" si="24"/>
        <v>0.50715656565656564</v>
      </c>
    </row>
    <row r="352" spans="1:14" ht="15" hidden="1" customHeight="1">
      <c r="A352" s="30" t="s">
        <v>517</v>
      </c>
      <c r="B352" s="30" t="s">
        <v>345</v>
      </c>
      <c r="C352" s="73">
        <v>45343</v>
      </c>
      <c r="D352" s="30">
        <v>472</v>
      </c>
      <c r="E352" s="30" t="s">
        <v>346</v>
      </c>
      <c r="F352" s="30" t="s">
        <v>344</v>
      </c>
      <c r="G352" s="30" t="s">
        <v>529</v>
      </c>
      <c r="H352" s="30">
        <v>922513</v>
      </c>
      <c r="I352" s="30"/>
      <c r="J352" s="30" t="s">
        <v>182</v>
      </c>
      <c r="K352" s="64">
        <v>202</v>
      </c>
      <c r="L352" s="143">
        <v>192.09299999999999</v>
      </c>
      <c r="M352" s="64">
        <f t="shared" si="23"/>
        <v>9.9070000000000107</v>
      </c>
      <c r="N352" s="54">
        <f t="shared" si="24"/>
        <v>0.95095544554455436</v>
      </c>
    </row>
    <row r="353" spans="1:14" ht="15" hidden="1" customHeight="1">
      <c r="A353" s="30" t="s">
        <v>391</v>
      </c>
      <c r="B353" s="30" t="s">
        <v>345</v>
      </c>
      <c r="C353" s="73">
        <v>45357</v>
      </c>
      <c r="D353" s="30">
        <v>623</v>
      </c>
      <c r="E353" s="30" t="s">
        <v>346</v>
      </c>
      <c r="F353" s="30" t="s">
        <v>344</v>
      </c>
      <c r="G353" s="30" t="s">
        <v>551</v>
      </c>
      <c r="H353" s="30">
        <v>967182</v>
      </c>
      <c r="I353" s="30"/>
      <c r="J353" s="30" t="s">
        <v>181</v>
      </c>
      <c r="K353" s="64">
        <v>100</v>
      </c>
      <c r="L353" s="143">
        <v>91.65</v>
      </c>
      <c r="M353" s="64">
        <f t="shared" si="23"/>
        <v>8.3499999999999943</v>
      </c>
      <c r="N353" s="54">
        <f t="shared" si="24"/>
        <v>0.91650000000000009</v>
      </c>
    </row>
    <row r="354" spans="1:14" ht="15" hidden="1" customHeight="1">
      <c r="A354" s="30" t="s">
        <v>391</v>
      </c>
      <c r="B354" s="30" t="s">
        <v>345</v>
      </c>
      <c r="C354" s="73">
        <v>45357</v>
      </c>
      <c r="D354" s="30">
        <v>623</v>
      </c>
      <c r="E354" s="30" t="s">
        <v>346</v>
      </c>
      <c r="F354" s="30" t="s">
        <v>344</v>
      </c>
      <c r="G354" s="30" t="s">
        <v>551</v>
      </c>
      <c r="H354" s="30">
        <v>967182</v>
      </c>
      <c r="I354" s="30"/>
      <c r="J354" s="30" t="s">
        <v>182</v>
      </c>
      <c r="K354" s="64">
        <v>50</v>
      </c>
      <c r="L354" s="143">
        <v>44.823</v>
      </c>
      <c r="M354" s="64">
        <f t="shared" si="23"/>
        <v>5.1769999999999996</v>
      </c>
      <c r="N354" s="54">
        <f t="shared" si="24"/>
        <v>0.89646000000000003</v>
      </c>
    </row>
    <row r="355" spans="1:14" ht="15" hidden="1" customHeight="1">
      <c r="A355" s="30" t="s">
        <v>391</v>
      </c>
      <c r="B355" s="30" t="s">
        <v>345</v>
      </c>
      <c r="C355" s="73">
        <v>45343</v>
      </c>
      <c r="D355" s="30">
        <v>473</v>
      </c>
      <c r="E355" s="30" t="s">
        <v>346</v>
      </c>
      <c r="F355" s="30" t="s">
        <v>344</v>
      </c>
      <c r="G355" s="30" t="s">
        <v>513</v>
      </c>
      <c r="H355" s="30">
        <v>697914</v>
      </c>
      <c r="I355" s="30"/>
      <c r="J355" s="30" t="s">
        <v>181</v>
      </c>
      <c r="K355" s="64">
        <v>368</v>
      </c>
      <c r="L355" s="143">
        <v>143.49100000000001</v>
      </c>
      <c r="M355" s="64">
        <f t="shared" si="23"/>
        <v>224.50899999999999</v>
      </c>
      <c r="N355" s="54">
        <f t="shared" si="24"/>
        <v>0.38992119565217392</v>
      </c>
    </row>
    <row r="356" spans="1:14" ht="15" hidden="1" customHeight="1">
      <c r="A356" s="30" t="s">
        <v>391</v>
      </c>
      <c r="B356" s="30" t="s">
        <v>345</v>
      </c>
      <c r="C356" s="73">
        <v>45343</v>
      </c>
      <c r="D356" s="154">
        <v>473</v>
      </c>
      <c r="E356" s="30" t="s">
        <v>346</v>
      </c>
      <c r="F356" s="30" t="s">
        <v>344</v>
      </c>
      <c r="G356" s="30" t="s">
        <v>513</v>
      </c>
      <c r="H356" s="30">
        <v>697914</v>
      </c>
      <c r="I356" s="30"/>
      <c r="J356" s="30" t="s">
        <v>182</v>
      </c>
      <c r="K356" s="64">
        <v>107</v>
      </c>
      <c r="L356" s="143">
        <v>117.592</v>
      </c>
      <c r="M356" s="64">
        <f t="shared" si="23"/>
        <v>-10.591999999999999</v>
      </c>
      <c r="N356" s="54">
        <f t="shared" si="24"/>
        <v>1.0989906542056074</v>
      </c>
    </row>
    <row r="357" spans="1:14" ht="15" hidden="1" customHeight="1">
      <c r="A357" s="30" t="s">
        <v>391</v>
      </c>
      <c r="B357" s="30" t="s">
        <v>345</v>
      </c>
      <c r="C357" s="73">
        <v>45343</v>
      </c>
      <c r="D357" s="154">
        <v>473</v>
      </c>
      <c r="E357" s="30" t="s">
        <v>346</v>
      </c>
      <c r="F357" s="30" t="s">
        <v>344</v>
      </c>
      <c r="G357" s="30" t="s">
        <v>530</v>
      </c>
      <c r="H357" s="30">
        <v>31292</v>
      </c>
      <c r="I357" s="30"/>
      <c r="J357" s="30" t="s">
        <v>181</v>
      </c>
      <c r="K357" s="64">
        <v>146</v>
      </c>
      <c r="L357" s="143"/>
      <c r="M357" s="64">
        <f t="shared" si="23"/>
        <v>146</v>
      </c>
      <c r="N357" s="54">
        <f t="shared" si="24"/>
        <v>0</v>
      </c>
    </row>
    <row r="358" spans="1:14" ht="15" hidden="1" customHeight="1">
      <c r="A358" s="30" t="s">
        <v>391</v>
      </c>
      <c r="B358" s="30" t="s">
        <v>345</v>
      </c>
      <c r="C358" s="73">
        <v>45343</v>
      </c>
      <c r="D358" s="154">
        <v>473</v>
      </c>
      <c r="E358" s="30" t="s">
        <v>346</v>
      </c>
      <c r="F358" s="30" t="s">
        <v>344</v>
      </c>
      <c r="G358" s="30" t="s">
        <v>530</v>
      </c>
      <c r="H358" s="30">
        <v>31292</v>
      </c>
      <c r="I358" s="30"/>
      <c r="J358" s="30" t="s">
        <v>182</v>
      </c>
      <c r="K358" s="64">
        <v>161</v>
      </c>
      <c r="L358" s="143"/>
      <c r="M358" s="64">
        <f t="shared" si="23"/>
        <v>161</v>
      </c>
      <c r="N358" s="54">
        <f t="shared" si="24"/>
        <v>0</v>
      </c>
    </row>
    <row r="359" spans="1:14" ht="15" hidden="1" customHeight="1">
      <c r="A359" s="30" t="s">
        <v>391</v>
      </c>
      <c r="B359" s="30" t="s">
        <v>345</v>
      </c>
      <c r="C359" s="73">
        <v>45343</v>
      </c>
      <c r="D359" s="154">
        <v>473</v>
      </c>
      <c r="E359" s="30" t="s">
        <v>346</v>
      </c>
      <c r="F359" s="30" t="s">
        <v>344</v>
      </c>
      <c r="G359" s="30" t="s">
        <v>531</v>
      </c>
      <c r="H359" s="30">
        <v>902556</v>
      </c>
      <c r="I359" s="30"/>
      <c r="J359" s="30" t="s">
        <v>181</v>
      </c>
      <c r="K359" s="64">
        <v>80</v>
      </c>
      <c r="L359" s="143"/>
      <c r="M359" s="64">
        <f t="shared" si="23"/>
        <v>80</v>
      </c>
      <c r="N359" s="54">
        <f t="shared" si="24"/>
        <v>0</v>
      </c>
    </row>
    <row r="360" spans="1:14" ht="15" hidden="1" customHeight="1">
      <c r="A360" s="30" t="s">
        <v>391</v>
      </c>
      <c r="B360" s="30" t="s">
        <v>345</v>
      </c>
      <c r="C360" s="73">
        <v>45343</v>
      </c>
      <c r="D360" s="154">
        <v>473</v>
      </c>
      <c r="E360" s="30" t="s">
        <v>346</v>
      </c>
      <c r="F360" s="30" t="s">
        <v>344</v>
      </c>
      <c r="G360" s="30" t="s">
        <v>531</v>
      </c>
      <c r="H360" s="30">
        <v>902556</v>
      </c>
      <c r="I360" s="30"/>
      <c r="J360" s="30" t="s">
        <v>182</v>
      </c>
      <c r="K360" s="64">
        <v>20</v>
      </c>
      <c r="L360" s="143"/>
      <c r="M360" s="64">
        <f t="shared" si="23"/>
        <v>20</v>
      </c>
      <c r="N360" s="54">
        <f t="shared" si="24"/>
        <v>0</v>
      </c>
    </row>
    <row r="361" spans="1:14" ht="15" hidden="1" customHeight="1">
      <c r="A361" s="30" t="s">
        <v>391</v>
      </c>
      <c r="B361" s="30" t="s">
        <v>345</v>
      </c>
      <c r="C361" s="73">
        <v>45343</v>
      </c>
      <c r="D361" s="154">
        <v>473</v>
      </c>
      <c r="E361" s="30" t="s">
        <v>346</v>
      </c>
      <c r="F361" s="30" t="s">
        <v>344</v>
      </c>
      <c r="G361" s="30" t="s">
        <v>532</v>
      </c>
      <c r="H361" s="30">
        <v>701677</v>
      </c>
      <c r="I361" s="30"/>
      <c r="J361" s="30" t="s">
        <v>181</v>
      </c>
      <c r="K361" s="64">
        <v>80</v>
      </c>
      <c r="L361" s="143">
        <v>43.055</v>
      </c>
      <c r="M361" s="64">
        <f t="shared" si="23"/>
        <v>36.945</v>
      </c>
      <c r="N361" s="54">
        <f t="shared" si="24"/>
        <v>0.53818750000000004</v>
      </c>
    </row>
    <row r="362" spans="1:14" ht="15" hidden="1" customHeight="1">
      <c r="A362" s="30" t="s">
        <v>391</v>
      </c>
      <c r="B362" s="30" t="s">
        <v>345</v>
      </c>
      <c r="C362" s="73">
        <v>45343</v>
      </c>
      <c r="D362" s="154">
        <v>473</v>
      </c>
      <c r="E362" s="30" t="s">
        <v>346</v>
      </c>
      <c r="F362" s="30" t="s">
        <v>344</v>
      </c>
      <c r="G362" s="30" t="s">
        <v>532</v>
      </c>
      <c r="H362" s="30">
        <v>701677</v>
      </c>
      <c r="I362" s="30"/>
      <c r="J362" s="30" t="s">
        <v>182</v>
      </c>
      <c r="K362" s="64">
        <v>20</v>
      </c>
      <c r="L362" s="143">
        <v>30.844999999999999</v>
      </c>
      <c r="M362" s="64">
        <f t="shared" si="23"/>
        <v>-10.844999999999999</v>
      </c>
      <c r="N362" s="54">
        <f t="shared" si="24"/>
        <v>1.5422499999999999</v>
      </c>
    </row>
    <row r="363" spans="1:14" ht="15" hidden="1" customHeight="1">
      <c r="A363" s="30" t="s">
        <v>391</v>
      </c>
      <c r="B363" s="30" t="s">
        <v>345</v>
      </c>
      <c r="C363" s="73">
        <v>45343</v>
      </c>
      <c r="D363" s="154">
        <v>473</v>
      </c>
      <c r="E363" s="30" t="s">
        <v>346</v>
      </c>
      <c r="F363" s="30" t="s">
        <v>344</v>
      </c>
      <c r="G363" s="30" t="s">
        <v>533</v>
      </c>
      <c r="H363" s="30">
        <v>925749</v>
      </c>
      <c r="I363" s="30"/>
      <c r="J363" s="30" t="s">
        <v>181</v>
      </c>
      <c r="K363" s="64">
        <v>100</v>
      </c>
      <c r="L363" s="143"/>
      <c r="M363" s="64">
        <f t="shared" si="23"/>
        <v>100</v>
      </c>
      <c r="N363" s="54">
        <f t="shared" si="24"/>
        <v>0</v>
      </c>
    </row>
    <row r="364" spans="1:14" ht="15" hidden="1" customHeight="1">
      <c r="A364" s="30" t="s">
        <v>391</v>
      </c>
      <c r="B364" s="30" t="s">
        <v>345</v>
      </c>
      <c r="C364" s="73">
        <v>45343</v>
      </c>
      <c r="D364" s="154">
        <v>473</v>
      </c>
      <c r="E364" s="30" t="s">
        <v>346</v>
      </c>
      <c r="F364" s="30" t="s">
        <v>344</v>
      </c>
      <c r="G364" s="30" t="s">
        <v>533</v>
      </c>
      <c r="H364" s="30">
        <v>925749</v>
      </c>
      <c r="I364" s="30"/>
      <c r="J364" s="30" t="s">
        <v>182</v>
      </c>
      <c r="K364" s="64">
        <v>100</v>
      </c>
      <c r="L364" s="143"/>
      <c r="M364" s="64">
        <f t="shared" si="23"/>
        <v>100</v>
      </c>
      <c r="N364" s="54">
        <f t="shared" si="24"/>
        <v>0</v>
      </c>
    </row>
    <row r="365" spans="1:14" ht="15" hidden="1" customHeight="1">
      <c r="A365" s="30" t="s">
        <v>391</v>
      </c>
      <c r="B365" s="30" t="s">
        <v>345</v>
      </c>
      <c r="C365" s="73">
        <v>45343</v>
      </c>
      <c r="D365" s="154">
        <v>473</v>
      </c>
      <c r="E365" s="30" t="s">
        <v>346</v>
      </c>
      <c r="F365" s="30" t="s">
        <v>344</v>
      </c>
      <c r="G365" s="30" t="s">
        <v>534</v>
      </c>
      <c r="H365" s="30">
        <v>964511</v>
      </c>
      <c r="I365" s="30"/>
      <c r="J365" s="30" t="s">
        <v>181</v>
      </c>
      <c r="K365" s="64">
        <v>100</v>
      </c>
      <c r="L365" s="143"/>
      <c r="M365" s="64">
        <f t="shared" si="23"/>
        <v>100</v>
      </c>
      <c r="N365" s="54">
        <f t="shared" si="24"/>
        <v>0</v>
      </c>
    </row>
    <row r="366" spans="1:14" ht="15" hidden="1" customHeight="1">
      <c r="A366" s="30" t="s">
        <v>391</v>
      </c>
      <c r="B366" s="30" t="s">
        <v>345</v>
      </c>
      <c r="C366" s="73">
        <v>45343</v>
      </c>
      <c r="D366" s="154">
        <v>473</v>
      </c>
      <c r="E366" s="30" t="s">
        <v>346</v>
      </c>
      <c r="F366" s="30" t="s">
        <v>344</v>
      </c>
      <c r="G366" s="30" t="s">
        <v>534</v>
      </c>
      <c r="H366" s="30">
        <v>964511</v>
      </c>
      <c r="I366" s="30"/>
      <c r="J366" s="30" t="s">
        <v>182</v>
      </c>
      <c r="K366" s="64">
        <v>20</v>
      </c>
      <c r="L366" s="143"/>
      <c r="M366" s="64">
        <f t="shared" si="23"/>
        <v>20</v>
      </c>
      <c r="N366" s="54">
        <f t="shared" si="24"/>
        <v>0</v>
      </c>
    </row>
    <row r="367" spans="1:14" ht="15" hidden="1" customHeight="1">
      <c r="A367" s="30" t="s">
        <v>391</v>
      </c>
      <c r="B367" s="30" t="s">
        <v>345</v>
      </c>
      <c r="C367" s="73">
        <v>45343</v>
      </c>
      <c r="D367" s="154">
        <v>473</v>
      </c>
      <c r="E367" s="30" t="s">
        <v>346</v>
      </c>
      <c r="F367" s="30" t="s">
        <v>344</v>
      </c>
      <c r="G367" s="30" t="s">
        <v>535</v>
      </c>
      <c r="H367" s="30">
        <v>962641</v>
      </c>
      <c r="I367" s="30"/>
      <c r="J367" s="30" t="s">
        <v>181</v>
      </c>
      <c r="K367" s="64">
        <v>0</v>
      </c>
      <c r="L367" s="143">
        <v>0</v>
      </c>
      <c r="M367" s="64">
        <f t="shared" si="23"/>
        <v>0</v>
      </c>
      <c r="N367" s="54" t="e">
        <f t="shared" si="24"/>
        <v>#DIV/0!</v>
      </c>
    </row>
    <row r="368" spans="1:14" ht="15" hidden="1" customHeight="1">
      <c r="A368" s="30" t="s">
        <v>391</v>
      </c>
      <c r="B368" s="30" t="s">
        <v>345</v>
      </c>
      <c r="C368" s="73">
        <v>45343</v>
      </c>
      <c r="D368" s="154">
        <v>473</v>
      </c>
      <c r="E368" s="30" t="s">
        <v>346</v>
      </c>
      <c r="F368" s="30" t="s">
        <v>344</v>
      </c>
      <c r="G368" s="30" t="s">
        <v>535</v>
      </c>
      <c r="H368" s="30">
        <v>962641</v>
      </c>
      <c r="I368" s="30"/>
      <c r="J368" s="30" t="s">
        <v>182</v>
      </c>
      <c r="K368" s="64">
        <v>0</v>
      </c>
      <c r="L368" s="143">
        <v>0</v>
      </c>
      <c r="M368" s="64">
        <f t="shared" si="23"/>
        <v>0</v>
      </c>
      <c r="N368" s="54" t="e">
        <f t="shared" si="24"/>
        <v>#DIV/0!</v>
      </c>
    </row>
    <row r="369" spans="1:14" ht="15" hidden="1" customHeight="1">
      <c r="A369" s="30" t="s">
        <v>391</v>
      </c>
      <c r="B369" s="30" t="s">
        <v>345</v>
      </c>
      <c r="C369" s="73">
        <v>45343</v>
      </c>
      <c r="D369" s="154">
        <v>473</v>
      </c>
      <c r="E369" s="30" t="s">
        <v>346</v>
      </c>
      <c r="F369" s="30" t="s">
        <v>344</v>
      </c>
      <c r="G369" s="30" t="s">
        <v>536</v>
      </c>
      <c r="H369" s="30">
        <v>968281</v>
      </c>
      <c r="I369" s="30"/>
      <c r="J369" s="30" t="s">
        <v>181</v>
      </c>
      <c r="K369" s="64">
        <v>100</v>
      </c>
      <c r="L369" s="143">
        <v>15.462999999999999</v>
      </c>
      <c r="M369" s="64">
        <f t="shared" si="23"/>
        <v>84.537000000000006</v>
      </c>
      <c r="N369" s="54">
        <f t="shared" si="24"/>
        <v>0.15462999999999999</v>
      </c>
    </row>
    <row r="370" spans="1:14" ht="15" hidden="1" customHeight="1">
      <c r="A370" s="30" t="s">
        <v>391</v>
      </c>
      <c r="B370" s="30" t="s">
        <v>345</v>
      </c>
      <c r="C370" s="73">
        <v>45343</v>
      </c>
      <c r="D370" s="154">
        <v>473</v>
      </c>
      <c r="E370" s="30" t="s">
        <v>346</v>
      </c>
      <c r="F370" s="30" t="s">
        <v>344</v>
      </c>
      <c r="G370" s="30" t="s">
        <v>536</v>
      </c>
      <c r="H370" s="30">
        <v>968281</v>
      </c>
      <c r="I370" s="30"/>
      <c r="J370" s="30" t="s">
        <v>182</v>
      </c>
      <c r="K370" s="64">
        <v>50</v>
      </c>
      <c r="L370" s="143">
        <v>2.9969999999999999</v>
      </c>
      <c r="M370" s="64">
        <f t="shared" si="23"/>
        <v>47.003</v>
      </c>
      <c r="N370" s="54">
        <f t="shared" si="24"/>
        <v>5.994E-2</v>
      </c>
    </row>
    <row r="371" spans="1:14" ht="15" hidden="1" customHeight="1">
      <c r="A371" s="30" t="s">
        <v>391</v>
      </c>
      <c r="B371" s="30" t="s">
        <v>345</v>
      </c>
      <c r="C371" s="73">
        <v>45343</v>
      </c>
      <c r="D371" s="154">
        <v>473</v>
      </c>
      <c r="E371" s="30" t="s">
        <v>346</v>
      </c>
      <c r="F371" s="30" t="s">
        <v>344</v>
      </c>
      <c r="G371" s="30" t="s">
        <v>537</v>
      </c>
      <c r="H371" s="30">
        <v>968680</v>
      </c>
      <c r="I371" s="30"/>
      <c r="J371" s="30" t="s">
        <v>181</v>
      </c>
      <c r="K371" s="64">
        <v>35</v>
      </c>
      <c r="L371" s="143">
        <v>3.6629999999999998</v>
      </c>
      <c r="M371" s="64">
        <f t="shared" si="23"/>
        <v>31.337</v>
      </c>
      <c r="N371" s="54">
        <f t="shared" si="24"/>
        <v>0.10465714285714285</v>
      </c>
    </row>
    <row r="372" spans="1:14" ht="15" hidden="1" customHeight="1">
      <c r="A372" s="30" t="s">
        <v>391</v>
      </c>
      <c r="B372" s="30" t="s">
        <v>345</v>
      </c>
      <c r="C372" s="73">
        <v>45343</v>
      </c>
      <c r="D372" s="154">
        <v>473</v>
      </c>
      <c r="E372" s="30" t="s">
        <v>346</v>
      </c>
      <c r="F372" s="30" t="s">
        <v>344</v>
      </c>
      <c r="G372" s="30" t="s">
        <v>537</v>
      </c>
      <c r="H372" s="30">
        <v>968680</v>
      </c>
      <c r="I372" s="30"/>
      <c r="J372" s="30" t="s">
        <v>182</v>
      </c>
      <c r="K372" s="64">
        <v>15</v>
      </c>
      <c r="L372" s="143">
        <v>46.331000000000003</v>
      </c>
      <c r="M372" s="64">
        <f t="shared" si="23"/>
        <v>-31.331000000000003</v>
      </c>
      <c r="N372" s="54">
        <f t="shared" si="24"/>
        <v>3.0887333333333333</v>
      </c>
    </row>
    <row r="373" spans="1:14" ht="15" hidden="1" customHeight="1">
      <c r="A373" s="30" t="s">
        <v>391</v>
      </c>
      <c r="B373" s="30" t="s">
        <v>345</v>
      </c>
      <c r="C373" s="73">
        <v>45343</v>
      </c>
      <c r="D373" s="154">
        <v>473</v>
      </c>
      <c r="E373" s="30" t="s">
        <v>346</v>
      </c>
      <c r="F373" s="30" t="s">
        <v>344</v>
      </c>
      <c r="G373" s="30" t="s">
        <v>538</v>
      </c>
      <c r="H373" s="30">
        <v>964054</v>
      </c>
      <c r="I373" s="30"/>
      <c r="J373" s="30" t="s">
        <v>181</v>
      </c>
      <c r="K373" s="64">
        <v>250</v>
      </c>
      <c r="L373" s="143">
        <v>194.57900000000001</v>
      </c>
      <c r="M373" s="64">
        <f t="shared" si="23"/>
        <v>55.420999999999992</v>
      </c>
      <c r="N373" s="54">
        <f t="shared" si="24"/>
        <v>0.77831600000000001</v>
      </c>
    </row>
    <row r="374" spans="1:14" ht="15" hidden="1" customHeight="1">
      <c r="A374" s="30" t="s">
        <v>391</v>
      </c>
      <c r="B374" s="30" t="s">
        <v>345</v>
      </c>
      <c r="C374" s="73">
        <v>45343</v>
      </c>
      <c r="D374" s="154">
        <v>473</v>
      </c>
      <c r="E374" s="30" t="s">
        <v>346</v>
      </c>
      <c r="F374" s="30" t="s">
        <v>344</v>
      </c>
      <c r="G374" s="30" t="s">
        <v>538</v>
      </c>
      <c r="H374" s="30">
        <v>964054</v>
      </c>
      <c r="I374" s="30"/>
      <c r="J374" s="30" t="s">
        <v>182</v>
      </c>
      <c r="K374" s="64">
        <v>150</v>
      </c>
      <c r="L374" s="143">
        <v>136.27600000000001</v>
      </c>
      <c r="M374" s="64">
        <f t="shared" si="23"/>
        <v>13.72399999999999</v>
      </c>
      <c r="N374" s="54">
        <f t="shared" si="24"/>
        <v>0.90850666666666668</v>
      </c>
    </row>
    <row r="375" spans="1:14" ht="15" hidden="1" customHeight="1">
      <c r="A375" s="30" t="s">
        <v>391</v>
      </c>
      <c r="B375" s="30" t="s">
        <v>345</v>
      </c>
      <c r="C375" s="73">
        <v>45343</v>
      </c>
      <c r="D375" s="154">
        <v>473</v>
      </c>
      <c r="E375" s="30" t="s">
        <v>346</v>
      </c>
      <c r="F375" s="30" t="s">
        <v>344</v>
      </c>
      <c r="G375" s="30" t="s">
        <v>539</v>
      </c>
      <c r="H375" s="30">
        <v>697391</v>
      </c>
      <c r="I375" s="30"/>
      <c r="J375" s="30" t="s">
        <v>181</v>
      </c>
      <c r="K375" s="64">
        <v>300</v>
      </c>
      <c r="L375" s="143">
        <v>171.21899999999999</v>
      </c>
      <c r="M375" s="64">
        <f t="shared" si="23"/>
        <v>128.78100000000001</v>
      </c>
      <c r="N375" s="54">
        <f t="shared" si="24"/>
        <v>0.57072999999999996</v>
      </c>
    </row>
    <row r="376" spans="1:14" ht="15" hidden="1" customHeight="1">
      <c r="A376" s="30" t="s">
        <v>391</v>
      </c>
      <c r="B376" s="30" t="s">
        <v>345</v>
      </c>
      <c r="C376" s="73">
        <v>45343</v>
      </c>
      <c r="D376" s="154">
        <v>473</v>
      </c>
      <c r="E376" s="30" t="s">
        <v>346</v>
      </c>
      <c r="F376" s="30" t="s">
        <v>344</v>
      </c>
      <c r="G376" s="30" t="s">
        <v>539</v>
      </c>
      <c r="H376" s="30">
        <v>697391</v>
      </c>
      <c r="I376" s="30"/>
      <c r="J376" s="30" t="s">
        <v>182</v>
      </c>
      <c r="K376" s="64">
        <v>200</v>
      </c>
      <c r="L376" s="143">
        <v>47.49</v>
      </c>
      <c r="M376" s="64">
        <f t="shared" si="23"/>
        <v>152.51</v>
      </c>
      <c r="N376" s="54">
        <f t="shared" si="24"/>
        <v>0.23745000000000002</v>
      </c>
    </row>
    <row r="377" spans="1:14" ht="15" hidden="1" customHeight="1">
      <c r="A377" s="30" t="s">
        <v>391</v>
      </c>
      <c r="B377" s="30" t="s">
        <v>345</v>
      </c>
      <c r="C377" s="73">
        <v>45343</v>
      </c>
      <c r="D377" s="154">
        <v>473</v>
      </c>
      <c r="E377" s="30" t="s">
        <v>346</v>
      </c>
      <c r="F377" s="30" t="s">
        <v>344</v>
      </c>
      <c r="G377" s="30" t="s">
        <v>540</v>
      </c>
      <c r="H377" s="30">
        <v>968614</v>
      </c>
      <c r="I377" s="30"/>
      <c r="J377" s="30" t="s">
        <v>181</v>
      </c>
      <c r="K377" s="64">
        <v>67</v>
      </c>
      <c r="L377" s="143"/>
      <c r="M377" s="64">
        <f t="shared" si="23"/>
        <v>67</v>
      </c>
      <c r="N377" s="54">
        <f t="shared" si="24"/>
        <v>0</v>
      </c>
    </row>
    <row r="378" spans="1:14" ht="15" hidden="1" customHeight="1">
      <c r="A378" s="30" t="s">
        <v>391</v>
      </c>
      <c r="B378" s="30" t="s">
        <v>345</v>
      </c>
      <c r="C378" s="73">
        <v>45343</v>
      </c>
      <c r="D378" s="154">
        <v>473</v>
      </c>
      <c r="E378" s="30" t="s">
        <v>346</v>
      </c>
      <c r="F378" s="30" t="s">
        <v>344</v>
      </c>
      <c r="G378" s="30" t="s">
        <v>540</v>
      </c>
      <c r="H378" s="30">
        <v>968614</v>
      </c>
      <c r="I378" s="30"/>
      <c r="J378" s="30" t="s">
        <v>182</v>
      </c>
      <c r="K378" s="64">
        <v>25</v>
      </c>
      <c r="L378" s="143"/>
      <c r="M378" s="64">
        <f t="shared" si="23"/>
        <v>25</v>
      </c>
      <c r="N378" s="54">
        <f t="shared" si="24"/>
        <v>0</v>
      </c>
    </row>
    <row r="379" spans="1:14" ht="15" hidden="1" customHeight="1">
      <c r="A379" s="30" t="s">
        <v>541</v>
      </c>
      <c r="B379" s="30" t="s">
        <v>345</v>
      </c>
      <c r="C379" s="73">
        <v>45358</v>
      </c>
      <c r="D379" s="30">
        <v>638</v>
      </c>
      <c r="E379" s="30" t="s">
        <v>408</v>
      </c>
      <c r="F379" s="30" t="s">
        <v>377</v>
      </c>
      <c r="G379" s="30" t="s">
        <v>542</v>
      </c>
      <c r="H379" s="30">
        <v>967684</v>
      </c>
      <c r="I379" s="30"/>
      <c r="J379" s="30" t="s">
        <v>181</v>
      </c>
      <c r="K379" s="64">
        <v>1</v>
      </c>
      <c r="L379" s="143">
        <f>11.838+3.83</f>
        <v>15.667999999999999</v>
      </c>
      <c r="M379" s="64">
        <f t="shared" si="23"/>
        <v>-14.667999999999999</v>
      </c>
      <c r="N379" s="54">
        <f t="shared" si="24"/>
        <v>15.667999999999999</v>
      </c>
    </row>
    <row r="380" spans="1:14" ht="15" hidden="1" customHeight="1">
      <c r="A380" s="30" t="s">
        <v>385</v>
      </c>
      <c r="B380" s="30" t="s">
        <v>345</v>
      </c>
      <c r="C380" s="73">
        <v>45357</v>
      </c>
      <c r="D380" s="30">
        <v>637</v>
      </c>
      <c r="E380" s="30" t="s">
        <v>346</v>
      </c>
      <c r="F380" s="30" t="s">
        <v>344</v>
      </c>
      <c r="G380" s="30" t="s">
        <v>543</v>
      </c>
      <c r="H380" s="30">
        <v>702195</v>
      </c>
      <c r="I380" s="30"/>
      <c r="J380" s="30" t="s">
        <v>181</v>
      </c>
      <c r="K380" s="64">
        <v>69</v>
      </c>
      <c r="L380" s="143">
        <v>54.203000000000003</v>
      </c>
      <c r="M380" s="64">
        <f t="shared" si="23"/>
        <v>14.796999999999997</v>
      </c>
      <c r="N380" s="54">
        <f t="shared" si="24"/>
        <v>0.78555072463768116</v>
      </c>
    </row>
    <row r="381" spans="1:14" ht="15" hidden="1" customHeight="1">
      <c r="A381" s="30" t="s">
        <v>385</v>
      </c>
      <c r="B381" s="30" t="s">
        <v>345</v>
      </c>
      <c r="C381" s="73">
        <v>45357</v>
      </c>
      <c r="D381" s="30">
        <v>637</v>
      </c>
      <c r="E381" s="30" t="s">
        <v>346</v>
      </c>
      <c r="F381" s="30" t="s">
        <v>344</v>
      </c>
      <c r="G381" s="30" t="s">
        <v>543</v>
      </c>
      <c r="H381" s="30">
        <v>702195</v>
      </c>
      <c r="I381" s="30"/>
      <c r="J381" s="30" t="s">
        <v>182</v>
      </c>
      <c r="K381" s="64">
        <v>131</v>
      </c>
      <c r="L381" s="143">
        <v>48.762</v>
      </c>
      <c r="M381" s="64">
        <f t="shared" si="23"/>
        <v>82.238</v>
      </c>
      <c r="N381" s="54">
        <f t="shared" si="24"/>
        <v>0.37222900763358779</v>
      </c>
    </row>
    <row r="382" spans="1:14" ht="15" hidden="1" customHeight="1">
      <c r="A382" s="30" t="s">
        <v>385</v>
      </c>
      <c r="B382" s="30" t="s">
        <v>390</v>
      </c>
      <c r="C382" s="73">
        <v>45357</v>
      </c>
      <c r="D382" s="30">
        <v>637</v>
      </c>
      <c r="E382" s="30" t="s">
        <v>346</v>
      </c>
      <c r="F382" s="30" t="s">
        <v>344</v>
      </c>
      <c r="G382" s="30" t="s">
        <v>544</v>
      </c>
      <c r="H382" s="30">
        <v>960538</v>
      </c>
      <c r="I382" s="30"/>
      <c r="J382" s="30" t="s">
        <v>181</v>
      </c>
      <c r="K382" s="216">
        <v>0</v>
      </c>
      <c r="L382" s="143"/>
      <c r="M382" s="216">
        <f>K382-(L382+L383+L384+L385)</f>
        <v>0</v>
      </c>
      <c r="N382" s="217" t="e">
        <f>(L382+L383+L384+L385)/K382</f>
        <v>#DIV/0!</v>
      </c>
    </row>
    <row r="383" spans="1:14" ht="15" hidden="1" customHeight="1">
      <c r="A383" s="30" t="s">
        <v>385</v>
      </c>
      <c r="B383" s="30" t="s">
        <v>390</v>
      </c>
      <c r="C383" s="73">
        <v>45357</v>
      </c>
      <c r="D383" s="30">
        <v>637</v>
      </c>
      <c r="E383" s="30" t="s">
        <v>346</v>
      </c>
      <c r="F383" s="30" t="s">
        <v>344</v>
      </c>
      <c r="G383" s="30" t="s">
        <v>545</v>
      </c>
      <c r="H383" s="30">
        <v>967898</v>
      </c>
      <c r="I383" s="30"/>
      <c r="J383" s="30" t="s">
        <v>181</v>
      </c>
      <c r="K383" s="216"/>
      <c r="L383" s="143"/>
      <c r="M383" s="216"/>
      <c r="N383" s="217"/>
    </row>
    <row r="384" spans="1:14" ht="15" hidden="1" customHeight="1">
      <c r="A384" s="30" t="s">
        <v>385</v>
      </c>
      <c r="B384" s="30" t="s">
        <v>390</v>
      </c>
      <c r="C384" s="73">
        <v>45357</v>
      </c>
      <c r="D384" s="30">
        <v>637</v>
      </c>
      <c r="E384" s="30" t="s">
        <v>346</v>
      </c>
      <c r="F384" s="30" t="s">
        <v>344</v>
      </c>
      <c r="G384" s="30" t="s">
        <v>546</v>
      </c>
      <c r="H384" s="30">
        <v>702116</v>
      </c>
      <c r="I384" s="30"/>
      <c r="J384" s="30" t="s">
        <v>181</v>
      </c>
      <c r="K384" s="216"/>
      <c r="L384" s="143"/>
      <c r="M384" s="216"/>
      <c r="N384" s="217"/>
    </row>
    <row r="385" spans="1:14" ht="15" hidden="1" customHeight="1">
      <c r="A385" s="30" t="s">
        <v>385</v>
      </c>
      <c r="B385" s="30" t="s">
        <v>390</v>
      </c>
      <c r="C385" s="73">
        <v>45357</v>
      </c>
      <c r="D385" s="30">
        <v>637</v>
      </c>
      <c r="E385" s="30" t="s">
        <v>346</v>
      </c>
      <c r="F385" s="30" t="s">
        <v>344</v>
      </c>
      <c r="G385" s="30" t="s">
        <v>547</v>
      </c>
      <c r="H385" s="30">
        <v>700324</v>
      </c>
      <c r="I385" s="30"/>
      <c r="J385" s="30" t="s">
        <v>181</v>
      </c>
      <c r="K385" s="216"/>
      <c r="L385" s="143"/>
      <c r="M385" s="216"/>
      <c r="N385" s="217"/>
    </row>
    <row r="386" spans="1:14" ht="15" hidden="1" customHeight="1">
      <c r="A386" s="30" t="s">
        <v>385</v>
      </c>
      <c r="B386" s="30" t="s">
        <v>390</v>
      </c>
      <c r="C386" s="73">
        <v>45357</v>
      </c>
      <c r="D386" s="30">
        <v>637</v>
      </c>
      <c r="E386" s="30" t="s">
        <v>346</v>
      </c>
      <c r="F386" s="30" t="s">
        <v>344</v>
      </c>
      <c r="G386" s="30" t="s">
        <v>544</v>
      </c>
      <c r="H386" s="30">
        <v>960538</v>
      </c>
      <c r="I386" s="30"/>
      <c r="J386" s="30" t="s">
        <v>182</v>
      </c>
      <c r="K386" s="216">
        <v>0</v>
      </c>
      <c r="L386" s="143"/>
      <c r="M386" s="216">
        <f>K386-(L386+L387+L388+L389)</f>
        <v>0</v>
      </c>
      <c r="N386" s="217" t="e">
        <f>(L386+L387+L388+L389)/K386</f>
        <v>#DIV/0!</v>
      </c>
    </row>
    <row r="387" spans="1:14" ht="15" hidden="1" customHeight="1">
      <c r="A387" s="30" t="s">
        <v>385</v>
      </c>
      <c r="B387" s="30" t="s">
        <v>390</v>
      </c>
      <c r="C387" s="73">
        <v>45357</v>
      </c>
      <c r="D387" s="30">
        <v>637</v>
      </c>
      <c r="E387" s="30" t="s">
        <v>346</v>
      </c>
      <c r="F387" s="30" t="s">
        <v>344</v>
      </c>
      <c r="G387" s="30" t="s">
        <v>545</v>
      </c>
      <c r="H387" s="30">
        <v>967898</v>
      </c>
      <c r="I387" s="30"/>
      <c r="J387" s="30" t="s">
        <v>182</v>
      </c>
      <c r="K387" s="216"/>
      <c r="L387" s="143"/>
      <c r="M387" s="216"/>
      <c r="N387" s="217"/>
    </row>
    <row r="388" spans="1:14" ht="15" hidden="1" customHeight="1">
      <c r="A388" s="30" t="s">
        <v>385</v>
      </c>
      <c r="B388" s="30" t="s">
        <v>390</v>
      </c>
      <c r="C388" s="73">
        <v>45357</v>
      </c>
      <c r="D388" s="30">
        <v>637</v>
      </c>
      <c r="E388" s="30" t="s">
        <v>346</v>
      </c>
      <c r="F388" s="30" t="s">
        <v>344</v>
      </c>
      <c r="G388" s="30" t="s">
        <v>546</v>
      </c>
      <c r="H388" s="30">
        <v>702116</v>
      </c>
      <c r="I388" s="30"/>
      <c r="J388" s="30" t="s">
        <v>182</v>
      </c>
      <c r="K388" s="216"/>
      <c r="L388" s="143"/>
      <c r="M388" s="216"/>
      <c r="N388" s="217"/>
    </row>
    <row r="389" spans="1:14" ht="15" hidden="1" customHeight="1">
      <c r="A389" s="30" t="s">
        <v>385</v>
      </c>
      <c r="B389" s="30" t="s">
        <v>390</v>
      </c>
      <c r="C389" s="73">
        <v>45357</v>
      </c>
      <c r="D389" s="30">
        <v>637</v>
      </c>
      <c r="E389" s="30" t="s">
        <v>346</v>
      </c>
      <c r="F389" s="30" t="s">
        <v>344</v>
      </c>
      <c r="G389" s="30" t="s">
        <v>547</v>
      </c>
      <c r="H389" s="30">
        <v>700324</v>
      </c>
      <c r="I389" s="30"/>
      <c r="J389" s="30" t="s">
        <v>182</v>
      </c>
      <c r="K389" s="216"/>
      <c r="L389" s="143"/>
      <c r="M389" s="216"/>
      <c r="N389" s="217"/>
    </row>
    <row r="390" spans="1:14" ht="15" hidden="1" customHeight="1">
      <c r="A390" s="30" t="s">
        <v>412</v>
      </c>
      <c r="B390" s="30" t="s">
        <v>390</v>
      </c>
      <c r="C390" s="73">
        <v>45358</v>
      </c>
      <c r="D390" s="30">
        <v>639</v>
      </c>
      <c r="E390" s="30" t="s">
        <v>408</v>
      </c>
      <c r="F390" s="30" t="s">
        <v>377</v>
      </c>
      <c r="G390" s="30" t="s">
        <v>548</v>
      </c>
      <c r="H390" s="30">
        <v>701977</v>
      </c>
      <c r="I390" s="30"/>
      <c r="J390" s="30" t="s">
        <v>181</v>
      </c>
      <c r="K390" s="213">
        <v>2</v>
      </c>
      <c r="L390" s="143">
        <v>56.369</v>
      </c>
      <c r="M390" s="213">
        <f>K390-(L390+L391+L392+L393)</f>
        <v>-258.87700000000001</v>
      </c>
      <c r="N390" s="219">
        <f>(L390+L391+L392+L393)/K390</f>
        <v>130.4385</v>
      </c>
    </row>
    <row r="391" spans="1:14" ht="15" hidden="1" customHeight="1">
      <c r="A391" s="30" t="s">
        <v>412</v>
      </c>
      <c r="B391" s="30" t="s">
        <v>390</v>
      </c>
      <c r="C391" s="73">
        <v>45358</v>
      </c>
      <c r="D391" s="30">
        <v>639</v>
      </c>
      <c r="E391" s="30" t="s">
        <v>408</v>
      </c>
      <c r="F391" s="30" t="s">
        <v>377</v>
      </c>
      <c r="G391" s="30" t="s">
        <v>549</v>
      </c>
      <c r="H391" s="30">
        <v>966328</v>
      </c>
      <c r="I391" s="30"/>
      <c r="J391" s="30" t="s">
        <v>181</v>
      </c>
      <c r="K391" s="214"/>
      <c r="L391" s="143">
        <v>99.986000000000004</v>
      </c>
      <c r="M391" s="214"/>
      <c r="N391" s="220"/>
    </row>
    <row r="392" spans="1:14" ht="15" hidden="1" customHeight="1">
      <c r="A392" s="30" t="s">
        <v>412</v>
      </c>
      <c r="B392" s="30" t="s">
        <v>390</v>
      </c>
      <c r="C392" s="73">
        <v>45358</v>
      </c>
      <c r="D392" s="30">
        <v>639</v>
      </c>
      <c r="E392" s="30" t="s">
        <v>408</v>
      </c>
      <c r="F392" s="30" t="s">
        <v>377</v>
      </c>
      <c r="G392" s="30" t="s">
        <v>550</v>
      </c>
      <c r="H392" s="30">
        <v>968700</v>
      </c>
      <c r="I392" s="30"/>
      <c r="J392" s="30" t="s">
        <v>181</v>
      </c>
      <c r="K392" s="214"/>
      <c r="L392" s="143">
        <v>84.441000000000003</v>
      </c>
      <c r="M392" s="214"/>
      <c r="N392" s="220"/>
    </row>
    <row r="393" spans="1:14" ht="15" hidden="1" customHeight="1">
      <c r="A393" s="30" t="s">
        <v>412</v>
      </c>
      <c r="B393" s="30" t="s">
        <v>390</v>
      </c>
      <c r="C393" s="73">
        <v>45358</v>
      </c>
      <c r="D393" s="30">
        <v>639</v>
      </c>
      <c r="E393" s="30" t="s">
        <v>408</v>
      </c>
      <c r="F393" s="30" t="s">
        <v>377</v>
      </c>
      <c r="G393" s="30" t="s">
        <v>542</v>
      </c>
      <c r="H393" s="30">
        <v>967684</v>
      </c>
      <c r="I393" s="30"/>
      <c r="J393" s="30" t="s">
        <v>181</v>
      </c>
      <c r="K393" s="215"/>
      <c r="L393" s="143">
        <v>20.081</v>
      </c>
      <c r="M393" s="215"/>
      <c r="N393" s="221"/>
    </row>
    <row r="394" spans="1:14" ht="15" hidden="1" customHeight="1">
      <c r="A394" s="30" t="s">
        <v>552</v>
      </c>
      <c r="B394" s="30" t="s">
        <v>345</v>
      </c>
      <c r="C394" s="73">
        <v>45358</v>
      </c>
      <c r="D394" s="30">
        <v>645</v>
      </c>
      <c r="E394" s="30" t="s">
        <v>408</v>
      </c>
      <c r="F394" s="30" t="s">
        <v>377</v>
      </c>
      <c r="G394" s="30" t="s">
        <v>553</v>
      </c>
      <c r="H394" s="30">
        <v>702037</v>
      </c>
      <c r="I394" s="30"/>
      <c r="J394" s="30" t="s">
        <v>181</v>
      </c>
      <c r="K394" s="64">
        <v>50</v>
      </c>
      <c r="L394" s="143">
        <v>9.4149999999999991</v>
      </c>
      <c r="M394" s="64">
        <f t="shared" ref="M394:M404" si="25">K394-L394</f>
        <v>40.585000000000001</v>
      </c>
      <c r="N394" s="54">
        <f t="shared" ref="N394:N404" si="26">L394/K394</f>
        <v>0.1883</v>
      </c>
    </row>
    <row r="395" spans="1:14" ht="15" hidden="1" customHeight="1">
      <c r="A395" s="30" t="s">
        <v>552</v>
      </c>
      <c r="B395" s="30" t="s">
        <v>345</v>
      </c>
      <c r="C395" s="73">
        <v>45358</v>
      </c>
      <c r="D395" s="30">
        <v>645</v>
      </c>
      <c r="E395" s="30" t="s">
        <v>408</v>
      </c>
      <c r="F395" s="30" t="s">
        <v>377</v>
      </c>
      <c r="G395" s="30" t="s">
        <v>553</v>
      </c>
      <c r="H395" s="30">
        <v>702037</v>
      </c>
      <c r="I395" s="30"/>
      <c r="J395" s="30" t="s">
        <v>182</v>
      </c>
      <c r="K395" s="64">
        <v>100</v>
      </c>
      <c r="L395" s="143">
        <v>22.681999999999999</v>
      </c>
      <c r="M395" s="64">
        <f t="shared" si="25"/>
        <v>77.317999999999998</v>
      </c>
      <c r="N395" s="54">
        <f t="shared" si="26"/>
        <v>0.22681999999999999</v>
      </c>
    </row>
    <row r="396" spans="1:14" ht="15" hidden="1" customHeight="1">
      <c r="A396" s="30" t="s">
        <v>451</v>
      </c>
      <c r="B396" s="30" t="s">
        <v>345</v>
      </c>
      <c r="C396" s="73">
        <v>45358</v>
      </c>
      <c r="D396" s="30">
        <v>647</v>
      </c>
      <c r="E396" s="30" t="s">
        <v>346</v>
      </c>
      <c r="F396" s="30" t="s">
        <v>344</v>
      </c>
      <c r="G396" s="30" t="s">
        <v>542</v>
      </c>
      <c r="H396" s="30">
        <v>967684</v>
      </c>
      <c r="I396" s="30"/>
      <c r="J396" s="30" t="s">
        <v>181</v>
      </c>
      <c r="K396" s="64">
        <v>40</v>
      </c>
      <c r="L396" s="143"/>
      <c r="M396" s="64">
        <f t="shared" si="25"/>
        <v>40</v>
      </c>
      <c r="N396" s="54">
        <f t="shared" si="26"/>
        <v>0</v>
      </c>
    </row>
    <row r="397" spans="1:14" ht="15" hidden="1" customHeight="1">
      <c r="A397" s="30" t="s">
        <v>451</v>
      </c>
      <c r="B397" s="30" t="s">
        <v>345</v>
      </c>
      <c r="C397" s="73">
        <v>45358</v>
      </c>
      <c r="D397" s="30">
        <v>647</v>
      </c>
      <c r="E397" s="30" t="s">
        <v>346</v>
      </c>
      <c r="F397" s="30" t="s">
        <v>344</v>
      </c>
      <c r="G397" s="30" t="s">
        <v>542</v>
      </c>
      <c r="H397" s="30">
        <v>967684</v>
      </c>
      <c r="I397" s="30"/>
      <c r="J397" s="30" t="s">
        <v>182</v>
      </c>
      <c r="K397" s="64">
        <v>65</v>
      </c>
      <c r="L397" s="143"/>
      <c r="M397" s="64">
        <f t="shared" si="25"/>
        <v>65</v>
      </c>
      <c r="N397" s="54">
        <f t="shared" si="26"/>
        <v>0</v>
      </c>
    </row>
    <row r="398" spans="1:14" ht="15" hidden="1" customHeight="1">
      <c r="A398" s="30" t="s">
        <v>451</v>
      </c>
      <c r="B398" s="30" t="s">
        <v>345</v>
      </c>
      <c r="C398" s="73">
        <v>45358</v>
      </c>
      <c r="D398" s="30">
        <v>647</v>
      </c>
      <c r="E398" s="30" t="s">
        <v>346</v>
      </c>
      <c r="F398" s="30" t="s">
        <v>344</v>
      </c>
      <c r="G398" s="30" t="s">
        <v>549</v>
      </c>
      <c r="H398" s="30">
        <v>966328</v>
      </c>
      <c r="I398" s="30"/>
      <c r="J398" s="30" t="s">
        <v>181</v>
      </c>
      <c r="K398" s="64">
        <v>40</v>
      </c>
      <c r="L398" s="143"/>
      <c r="M398" s="64">
        <f t="shared" si="25"/>
        <v>40</v>
      </c>
      <c r="N398" s="54">
        <f t="shared" si="26"/>
        <v>0</v>
      </c>
    </row>
    <row r="399" spans="1:14" ht="15" hidden="1" customHeight="1">
      <c r="A399" s="30" t="s">
        <v>451</v>
      </c>
      <c r="B399" s="30" t="s">
        <v>345</v>
      </c>
      <c r="C399" s="73">
        <v>45358</v>
      </c>
      <c r="D399" s="30">
        <v>647</v>
      </c>
      <c r="E399" s="30" t="s">
        <v>346</v>
      </c>
      <c r="F399" s="30" t="s">
        <v>344</v>
      </c>
      <c r="G399" s="30" t="s">
        <v>549</v>
      </c>
      <c r="H399" s="30">
        <v>966328</v>
      </c>
      <c r="I399" s="30"/>
      <c r="J399" s="30" t="s">
        <v>182</v>
      </c>
      <c r="K399" s="64">
        <v>65</v>
      </c>
      <c r="L399" s="143">
        <f>62.014+2.578</f>
        <v>64.591999999999999</v>
      </c>
      <c r="M399" s="64">
        <f t="shared" si="25"/>
        <v>0.40800000000000125</v>
      </c>
      <c r="N399" s="54">
        <f t="shared" si="26"/>
        <v>0.99372307692307693</v>
      </c>
    </row>
    <row r="400" spans="1:14" ht="15" hidden="1" customHeight="1">
      <c r="A400" s="30" t="s">
        <v>451</v>
      </c>
      <c r="B400" s="30" t="s">
        <v>345</v>
      </c>
      <c r="C400" s="73">
        <v>45358</v>
      </c>
      <c r="D400" s="30">
        <v>647</v>
      </c>
      <c r="E400" s="30" t="s">
        <v>346</v>
      </c>
      <c r="F400" s="30" t="s">
        <v>344</v>
      </c>
      <c r="G400" s="30" t="s">
        <v>548</v>
      </c>
      <c r="H400" s="30">
        <v>701977</v>
      </c>
      <c r="I400" s="30"/>
      <c r="J400" s="30" t="s">
        <v>181</v>
      </c>
      <c r="K400" s="64">
        <v>40</v>
      </c>
      <c r="L400" s="143">
        <v>85.010999999999996</v>
      </c>
      <c r="M400" s="64">
        <f t="shared" si="25"/>
        <v>-45.010999999999996</v>
      </c>
      <c r="N400" s="54">
        <f t="shared" si="26"/>
        <v>2.1252749999999998</v>
      </c>
    </row>
    <row r="401" spans="1:14" ht="15" hidden="1" customHeight="1">
      <c r="A401" s="30" t="s">
        <v>451</v>
      </c>
      <c r="B401" s="30" t="s">
        <v>345</v>
      </c>
      <c r="C401" s="73">
        <v>45358</v>
      </c>
      <c r="D401" s="30">
        <v>647</v>
      </c>
      <c r="E401" s="30" t="s">
        <v>346</v>
      </c>
      <c r="F401" s="30" t="s">
        <v>344</v>
      </c>
      <c r="G401" s="30" t="s">
        <v>548</v>
      </c>
      <c r="H401" s="30">
        <v>701977</v>
      </c>
      <c r="I401" s="30"/>
      <c r="J401" s="30" t="s">
        <v>182</v>
      </c>
      <c r="K401" s="64">
        <v>65</v>
      </c>
      <c r="L401" s="143">
        <v>19.989000000000001</v>
      </c>
      <c r="M401" s="64">
        <f t="shared" si="25"/>
        <v>45.010999999999996</v>
      </c>
      <c r="N401" s="54">
        <f t="shared" si="26"/>
        <v>0.30752307692307695</v>
      </c>
    </row>
    <row r="402" spans="1:14" ht="15" hidden="1" customHeight="1">
      <c r="A402" s="30" t="s">
        <v>451</v>
      </c>
      <c r="B402" s="30" t="s">
        <v>345</v>
      </c>
      <c r="C402" s="73">
        <v>45358</v>
      </c>
      <c r="D402" s="30">
        <v>647</v>
      </c>
      <c r="E402" s="30" t="s">
        <v>346</v>
      </c>
      <c r="F402" s="30" t="s">
        <v>344</v>
      </c>
      <c r="G402" s="30" t="s">
        <v>550</v>
      </c>
      <c r="H402" s="30">
        <v>968700</v>
      </c>
      <c r="I402" s="30"/>
      <c r="J402" s="30" t="s">
        <v>181</v>
      </c>
      <c r="K402" s="64">
        <v>40</v>
      </c>
      <c r="L402" s="143"/>
      <c r="M402" s="64">
        <f t="shared" si="25"/>
        <v>40</v>
      </c>
      <c r="N402" s="54">
        <f t="shared" si="26"/>
        <v>0</v>
      </c>
    </row>
    <row r="403" spans="1:14" ht="15" hidden="1" customHeight="1">
      <c r="A403" s="30" t="s">
        <v>451</v>
      </c>
      <c r="B403" s="30" t="s">
        <v>345</v>
      </c>
      <c r="C403" s="73">
        <v>45358</v>
      </c>
      <c r="D403" s="30">
        <v>647</v>
      </c>
      <c r="E403" s="30" t="s">
        <v>346</v>
      </c>
      <c r="F403" s="30" t="s">
        <v>344</v>
      </c>
      <c r="G403" s="30" t="s">
        <v>550</v>
      </c>
      <c r="H403" s="30">
        <v>968700</v>
      </c>
      <c r="I403" s="30"/>
      <c r="J403" s="30" t="s">
        <v>182</v>
      </c>
      <c r="K403" s="64">
        <v>65</v>
      </c>
      <c r="L403" s="143"/>
      <c r="M403" s="64">
        <f t="shared" si="25"/>
        <v>65</v>
      </c>
      <c r="N403" s="54">
        <f t="shared" si="26"/>
        <v>0</v>
      </c>
    </row>
    <row r="404" spans="1:14" ht="15" hidden="1" customHeight="1">
      <c r="A404" s="30" t="s">
        <v>554</v>
      </c>
      <c r="B404" s="30" t="s">
        <v>345</v>
      </c>
      <c r="C404" s="73">
        <v>45358</v>
      </c>
      <c r="D404" s="30">
        <v>648</v>
      </c>
      <c r="E404" s="30" t="s">
        <v>346</v>
      </c>
      <c r="F404" s="30" t="s">
        <v>344</v>
      </c>
      <c r="G404" s="30" t="s">
        <v>544</v>
      </c>
      <c r="H404" s="30">
        <v>960538</v>
      </c>
      <c r="I404" s="30"/>
      <c r="J404" s="30" t="s">
        <v>181</v>
      </c>
      <c r="K404" s="64">
        <v>232.435</v>
      </c>
      <c r="L404" s="143">
        <v>232.435</v>
      </c>
      <c r="M404" s="64">
        <f t="shared" si="25"/>
        <v>0</v>
      </c>
      <c r="N404" s="54">
        <f t="shared" si="26"/>
        <v>1</v>
      </c>
    </row>
    <row r="405" spans="1:14" ht="15" hidden="1" customHeight="1">
      <c r="A405" s="30" t="s">
        <v>555</v>
      </c>
      <c r="B405" s="30" t="s">
        <v>390</v>
      </c>
      <c r="C405" s="73">
        <v>45359</v>
      </c>
      <c r="D405" s="30">
        <v>654</v>
      </c>
      <c r="E405" s="30" t="s">
        <v>346</v>
      </c>
      <c r="F405" s="30" t="s">
        <v>344</v>
      </c>
      <c r="G405" s="30" t="s">
        <v>544</v>
      </c>
      <c r="H405" s="30">
        <v>960538</v>
      </c>
      <c r="I405" s="30"/>
      <c r="J405" s="30" t="s">
        <v>182</v>
      </c>
      <c r="K405" s="213">
        <v>1767.6089999999999</v>
      </c>
      <c r="L405" s="143">
        <v>156.572</v>
      </c>
      <c r="M405" s="216">
        <f>K405-(L405+L406+L407+L408)</f>
        <v>1492.81</v>
      </c>
      <c r="N405" s="217">
        <f>(L405+L406+L407+L408)/K405</f>
        <v>0.15546368003331054</v>
      </c>
    </row>
    <row r="406" spans="1:14" ht="15" hidden="1" customHeight="1">
      <c r="A406" s="30" t="s">
        <v>555</v>
      </c>
      <c r="B406" s="30" t="s">
        <v>390</v>
      </c>
      <c r="C406" s="73">
        <v>45359</v>
      </c>
      <c r="D406" s="30">
        <v>654</v>
      </c>
      <c r="E406" s="30" t="s">
        <v>346</v>
      </c>
      <c r="F406" s="30" t="s">
        <v>344</v>
      </c>
      <c r="G406" s="30" t="s">
        <v>545</v>
      </c>
      <c r="H406" s="30">
        <v>967898</v>
      </c>
      <c r="I406" s="30"/>
      <c r="J406" s="30" t="s">
        <v>182</v>
      </c>
      <c r="K406" s="214"/>
      <c r="L406" s="143">
        <v>69.915999999999997</v>
      </c>
      <c r="M406" s="216"/>
      <c r="N406" s="217"/>
    </row>
    <row r="407" spans="1:14" ht="15" hidden="1" customHeight="1">
      <c r="A407" s="30" t="s">
        <v>555</v>
      </c>
      <c r="B407" s="30" t="s">
        <v>390</v>
      </c>
      <c r="C407" s="73">
        <v>45359</v>
      </c>
      <c r="D407" s="30">
        <v>654</v>
      </c>
      <c r="E407" s="30" t="s">
        <v>346</v>
      </c>
      <c r="F407" s="30" t="s">
        <v>344</v>
      </c>
      <c r="G407" s="30" t="s">
        <v>547</v>
      </c>
      <c r="H407" s="30">
        <v>700324</v>
      </c>
      <c r="I407" s="30"/>
      <c r="J407" s="30" t="s">
        <v>182</v>
      </c>
      <c r="K407" s="214"/>
      <c r="L407" s="143">
        <v>4.3019999999999996</v>
      </c>
      <c r="M407" s="216"/>
      <c r="N407" s="217"/>
    </row>
    <row r="408" spans="1:14" ht="15" hidden="1" customHeight="1">
      <c r="A408" s="30" t="s">
        <v>555</v>
      </c>
      <c r="B408" s="30" t="s">
        <v>390</v>
      </c>
      <c r="C408" s="73">
        <v>45359</v>
      </c>
      <c r="D408" s="30">
        <v>654</v>
      </c>
      <c r="E408" s="30" t="s">
        <v>346</v>
      </c>
      <c r="F408" s="30" t="s">
        <v>344</v>
      </c>
      <c r="G408" s="30" t="s">
        <v>546</v>
      </c>
      <c r="H408" s="30">
        <v>702116</v>
      </c>
      <c r="I408" s="30"/>
      <c r="J408" s="30" t="s">
        <v>182</v>
      </c>
      <c r="K408" s="215"/>
      <c r="L408" s="143">
        <v>44.009</v>
      </c>
      <c r="M408" s="216"/>
      <c r="N408" s="217"/>
    </row>
    <row r="409" spans="1:14" ht="15" hidden="1" customHeight="1">
      <c r="A409" s="30" t="s">
        <v>385</v>
      </c>
      <c r="B409" s="30" t="s">
        <v>390</v>
      </c>
      <c r="C409" s="73">
        <v>45352</v>
      </c>
      <c r="D409" s="30">
        <v>556</v>
      </c>
      <c r="E409" s="30" t="s">
        <v>346</v>
      </c>
      <c r="F409" s="30" t="s">
        <v>344</v>
      </c>
      <c r="G409" s="30" t="s">
        <v>428</v>
      </c>
      <c r="H409" s="30">
        <v>701555</v>
      </c>
      <c r="I409" s="30"/>
      <c r="J409" s="30" t="s">
        <v>181</v>
      </c>
      <c r="K409" s="213">
        <v>412</v>
      </c>
      <c r="L409" s="143"/>
      <c r="M409" s="216">
        <f>K409-(L409+L410+L411)</f>
        <v>412</v>
      </c>
      <c r="N409" s="217">
        <f>(L409+L410+L411)/K409</f>
        <v>0</v>
      </c>
    </row>
    <row r="410" spans="1:14" ht="15" hidden="1" customHeight="1">
      <c r="A410" s="30" t="s">
        <v>385</v>
      </c>
      <c r="B410" s="30" t="s">
        <v>390</v>
      </c>
      <c r="C410" s="73">
        <v>45352</v>
      </c>
      <c r="D410" s="30">
        <v>556</v>
      </c>
      <c r="E410" s="30" t="s">
        <v>346</v>
      </c>
      <c r="F410" s="30" t="s">
        <v>344</v>
      </c>
      <c r="G410" s="30" t="s">
        <v>557</v>
      </c>
      <c r="H410" s="30">
        <v>700411</v>
      </c>
      <c r="I410" s="30"/>
      <c r="J410" s="30" t="s">
        <v>181</v>
      </c>
      <c r="K410" s="214"/>
      <c r="L410" s="143"/>
      <c r="M410" s="216"/>
      <c r="N410" s="217"/>
    </row>
    <row r="411" spans="1:14" ht="15" hidden="1" customHeight="1">
      <c r="A411" s="30" t="s">
        <v>385</v>
      </c>
      <c r="B411" s="30" t="s">
        <v>390</v>
      </c>
      <c r="C411" s="73">
        <v>45352</v>
      </c>
      <c r="D411" s="30">
        <v>556</v>
      </c>
      <c r="E411" s="30" t="s">
        <v>346</v>
      </c>
      <c r="F411" s="30" t="s">
        <v>344</v>
      </c>
      <c r="G411" s="30" t="s">
        <v>558</v>
      </c>
      <c r="H411" s="30">
        <v>700864</v>
      </c>
      <c r="I411" s="30"/>
      <c r="J411" s="30" t="s">
        <v>181</v>
      </c>
      <c r="K411" s="215"/>
      <c r="L411" s="143"/>
      <c r="M411" s="216"/>
      <c r="N411" s="217"/>
    </row>
    <row r="412" spans="1:14" ht="15" hidden="1" customHeight="1">
      <c r="A412" s="30" t="s">
        <v>385</v>
      </c>
      <c r="B412" s="30" t="s">
        <v>390</v>
      </c>
      <c r="C412" s="73">
        <v>45352</v>
      </c>
      <c r="D412" s="30">
        <v>556</v>
      </c>
      <c r="E412" s="30" t="s">
        <v>346</v>
      </c>
      <c r="F412" s="30" t="s">
        <v>344</v>
      </c>
      <c r="G412" s="30" t="s">
        <v>428</v>
      </c>
      <c r="H412" s="30">
        <v>701555</v>
      </c>
      <c r="I412" s="30"/>
      <c r="J412" s="30" t="s">
        <v>182</v>
      </c>
      <c r="K412" s="213">
        <v>788</v>
      </c>
      <c r="L412" s="143"/>
      <c r="M412" s="216">
        <f>K412-(L412+L413+L414)</f>
        <v>776.96</v>
      </c>
      <c r="N412" s="217">
        <f>(L412+L413+L414)/K412</f>
        <v>1.4010152284263958E-2</v>
      </c>
    </row>
    <row r="413" spans="1:14" ht="15" hidden="1" customHeight="1">
      <c r="A413" s="30" t="s">
        <v>385</v>
      </c>
      <c r="B413" s="30" t="s">
        <v>390</v>
      </c>
      <c r="C413" s="73">
        <v>45352</v>
      </c>
      <c r="D413" s="30">
        <v>556</v>
      </c>
      <c r="E413" s="30" t="s">
        <v>346</v>
      </c>
      <c r="F413" s="30" t="s">
        <v>344</v>
      </c>
      <c r="G413" s="30" t="s">
        <v>557</v>
      </c>
      <c r="H413" s="30">
        <v>700411</v>
      </c>
      <c r="I413" s="30"/>
      <c r="J413" s="30" t="s">
        <v>182</v>
      </c>
      <c r="K413" s="214"/>
      <c r="L413" s="143">
        <v>11.04</v>
      </c>
      <c r="M413" s="216"/>
      <c r="N413" s="217"/>
    </row>
    <row r="414" spans="1:14" ht="15" hidden="1" customHeight="1">
      <c r="A414" s="30" t="s">
        <v>385</v>
      </c>
      <c r="B414" s="30" t="s">
        <v>390</v>
      </c>
      <c r="C414" s="73">
        <v>45352</v>
      </c>
      <c r="D414" s="30">
        <v>556</v>
      </c>
      <c r="E414" s="30" t="s">
        <v>346</v>
      </c>
      <c r="F414" s="30" t="s">
        <v>344</v>
      </c>
      <c r="G414" s="30" t="s">
        <v>558</v>
      </c>
      <c r="H414" s="30">
        <v>700864</v>
      </c>
      <c r="I414" s="30"/>
      <c r="J414" s="30" t="s">
        <v>182</v>
      </c>
      <c r="K414" s="215"/>
      <c r="L414" s="143"/>
      <c r="M414" s="216"/>
      <c r="N414" s="217"/>
    </row>
    <row r="415" spans="1:14" ht="15" hidden="1" customHeight="1">
      <c r="A415" s="30" t="s">
        <v>559</v>
      </c>
      <c r="B415" s="30" t="s">
        <v>345</v>
      </c>
      <c r="C415" s="73">
        <v>45352</v>
      </c>
      <c r="D415" s="30">
        <v>555</v>
      </c>
      <c r="E415" s="30" t="s">
        <v>346</v>
      </c>
      <c r="F415" s="30" t="s">
        <v>377</v>
      </c>
      <c r="G415" s="30" t="s">
        <v>560</v>
      </c>
      <c r="H415" s="30">
        <v>700161</v>
      </c>
      <c r="I415" s="30"/>
      <c r="J415" s="30" t="s">
        <v>181</v>
      </c>
      <c r="K415" s="64">
        <v>83</v>
      </c>
      <c r="L415" s="143">
        <v>5.798</v>
      </c>
      <c r="M415" s="64">
        <f t="shared" ref="M415:M420" si="27">K415-L415</f>
        <v>77.201999999999998</v>
      </c>
      <c r="N415" s="54">
        <f t="shared" ref="N415:N420" si="28">L415/K415</f>
        <v>6.9855421686746993E-2</v>
      </c>
    </row>
    <row r="416" spans="1:14" ht="15" hidden="1" customHeight="1">
      <c r="A416" s="30" t="s">
        <v>559</v>
      </c>
      <c r="B416" s="30" t="s">
        <v>345</v>
      </c>
      <c r="C416" s="73">
        <v>45352</v>
      </c>
      <c r="D416" s="30">
        <v>555</v>
      </c>
      <c r="E416" s="30" t="s">
        <v>346</v>
      </c>
      <c r="F416" s="30" t="s">
        <v>377</v>
      </c>
      <c r="G416" s="30" t="s">
        <v>560</v>
      </c>
      <c r="H416" s="30">
        <v>700161</v>
      </c>
      <c r="I416" s="30"/>
      <c r="J416" s="30" t="s">
        <v>182</v>
      </c>
      <c r="K416" s="64">
        <v>267</v>
      </c>
      <c r="L416" s="143">
        <v>1.1519999999999999</v>
      </c>
      <c r="M416" s="64">
        <f t="shared" si="27"/>
        <v>265.84800000000001</v>
      </c>
      <c r="N416" s="54">
        <f t="shared" si="28"/>
        <v>4.3146067415730334E-3</v>
      </c>
    </row>
    <row r="417" spans="1:14" ht="15" hidden="1" customHeight="1">
      <c r="A417" s="30" t="s">
        <v>559</v>
      </c>
      <c r="B417" s="30" t="s">
        <v>345</v>
      </c>
      <c r="C417" s="73">
        <v>45352</v>
      </c>
      <c r="D417" s="30">
        <v>555</v>
      </c>
      <c r="E417" s="30" t="s">
        <v>346</v>
      </c>
      <c r="F417" s="30" t="s">
        <v>377</v>
      </c>
      <c r="G417" s="30" t="s">
        <v>561</v>
      </c>
      <c r="H417" s="30">
        <v>701637</v>
      </c>
      <c r="I417" s="30"/>
      <c r="J417" s="30" t="s">
        <v>181</v>
      </c>
      <c r="K417" s="64">
        <v>106</v>
      </c>
      <c r="L417" s="143">
        <v>11.827999999999999</v>
      </c>
      <c r="M417" s="64">
        <f t="shared" si="27"/>
        <v>94.171999999999997</v>
      </c>
      <c r="N417" s="54">
        <f t="shared" si="28"/>
        <v>0.11158490566037735</v>
      </c>
    </row>
    <row r="418" spans="1:14" ht="15" hidden="1" customHeight="1">
      <c r="A418" s="30" t="s">
        <v>559</v>
      </c>
      <c r="B418" s="30" t="s">
        <v>345</v>
      </c>
      <c r="C418" s="73">
        <v>45352</v>
      </c>
      <c r="D418" s="30">
        <v>555</v>
      </c>
      <c r="E418" s="30" t="s">
        <v>346</v>
      </c>
      <c r="F418" s="30" t="s">
        <v>377</v>
      </c>
      <c r="G418" s="30" t="s">
        <v>561</v>
      </c>
      <c r="H418" s="30">
        <v>701637</v>
      </c>
      <c r="I418" s="30"/>
      <c r="J418" s="30" t="s">
        <v>182</v>
      </c>
      <c r="K418" s="64">
        <v>339</v>
      </c>
      <c r="L418" s="143">
        <v>1.966</v>
      </c>
      <c r="M418" s="64">
        <f t="shared" si="27"/>
        <v>337.03399999999999</v>
      </c>
      <c r="N418" s="54">
        <f t="shared" si="28"/>
        <v>5.7994100294985248E-3</v>
      </c>
    </row>
    <row r="419" spans="1:14" ht="15" hidden="1" customHeight="1">
      <c r="A419" s="30" t="s">
        <v>559</v>
      </c>
      <c r="B419" s="30" t="s">
        <v>345</v>
      </c>
      <c r="C419" s="73">
        <v>45352</v>
      </c>
      <c r="D419" s="30">
        <v>555</v>
      </c>
      <c r="E419" s="30" t="s">
        <v>346</v>
      </c>
      <c r="F419" s="30" t="s">
        <v>377</v>
      </c>
      <c r="G419" s="30" t="s">
        <v>587</v>
      </c>
      <c r="H419" s="30">
        <v>699774</v>
      </c>
      <c r="I419" s="30"/>
      <c r="J419" s="30" t="s">
        <v>181</v>
      </c>
      <c r="K419" s="64">
        <v>154</v>
      </c>
      <c r="L419" s="143">
        <v>140.245</v>
      </c>
      <c r="M419" s="64">
        <f t="shared" si="27"/>
        <v>13.754999999999995</v>
      </c>
      <c r="N419" s="54">
        <f t="shared" si="28"/>
        <v>0.91068181818181826</v>
      </c>
    </row>
    <row r="420" spans="1:14" ht="15" hidden="1" customHeight="1">
      <c r="A420" s="30" t="s">
        <v>559</v>
      </c>
      <c r="B420" s="30" t="s">
        <v>345</v>
      </c>
      <c r="C420" s="73">
        <v>45352</v>
      </c>
      <c r="D420" s="30">
        <v>555</v>
      </c>
      <c r="E420" s="30" t="s">
        <v>346</v>
      </c>
      <c r="F420" s="30" t="s">
        <v>377</v>
      </c>
      <c r="G420" s="30" t="s">
        <v>587</v>
      </c>
      <c r="H420" s="30">
        <v>699774</v>
      </c>
      <c r="I420" s="30"/>
      <c r="J420" s="30" t="s">
        <v>182</v>
      </c>
      <c r="K420" s="64">
        <v>496</v>
      </c>
      <c r="L420" s="143">
        <v>147.86500000000001</v>
      </c>
      <c r="M420" s="64">
        <f t="shared" si="27"/>
        <v>348.13499999999999</v>
      </c>
      <c r="N420" s="54">
        <f t="shared" si="28"/>
        <v>0.29811491935483875</v>
      </c>
    </row>
    <row r="421" spans="1:14" ht="15" hidden="1" customHeight="1">
      <c r="A421" s="30" t="s">
        <v>562</v>
      </c>
      <c r="B421" s="30" t="s">
        <v>390</v>
      </c>
      <c r="C421" s="73">
        <v>45352</v>
      </c>
      <c r="D421" s="30">
        <v>558</v>
      </c>
      <c r="E421" s="30" t="s">
        <v>346</v>
      </c>
      <c r="F421" s="30" t="s">
        <v>377</v>
      </c>
      <c r="G421" s="30" t="s">
        <v>563</v>
      </c>
      <c r="H421" s="30">
        <v>701723</v>
      </c>
      <c r="I421" s="30"/>
      <c r="J421" s="30" t="s">
        <v>181</v>
      </c>
      <c r="K421" s="213">
        <v>10017.562</v>
      </c>
      <c r="L421" s="143">
        <v>213.19</v>
      </c>
      <c r="M421" s="213">
        <f>K421-(SUM(L421:L452))</f>
        <v>2541.3399999999983</v>
      </c>
      <c r="N421" s="219">
        <f>(SUM(L421:L452))/K421</f>
        <v>0.74631152769506215</v>
      </c>
    </row>
    <row r="422" spans="1:14" ht="15" hidden="1" customHeight="1">
      <c r="A422" s="30" t="s">
        <v>562</v>
      </c>
      <c r="B422" s="30" t="s">
        <v>390</v>
      </c>
      <c r="C422" s="73">
        <v>45352</v>
      </c>
      <c r="D422" s="30">
        <v>558</v>
      </c>
      <c r="E422" s="30" t="s">
        <v>346</v>
      </c>
      <c r="F422" s="30" t="s">
        <v>377</v>
      </c>
      <c r="G422" s="30" t="s">
        <v>564</v>
      </c>
      <c r="H422" s="30">
        <v>967577</v>
      </c>
      <c r="I422" s="30"/>
      <c r="J422" s="30" t="s">
        <v>181</v>
      </c>
      <c r="K422" s="214"/>
      <c r="L422" s="143">
        <v>188.39699999999999</v>
      </c>
      <c r="M422" s="214"/>
      <c r="N422" s="220"/>
    </row>
    <row r="423" spans="1:14" ht="15" hidden="1" customHeight="1">
      <c r="A423" s="30" t="s">
        <v>562</v>
      </c>
      <c r="B423" s="30" t="s">
        <v>390</v>
      </c>
      <c r="C423" s="73">
        <v>45352</v>
      </c>
      <c r="D423" s="30">
        <v>558</v>
      </c>
      <c r="E423" s="30" t="s">
        <v>346</v>
      </c>
      <c r="F423" s="30" t="s">
        <v>377</v>
      </c>
      <c r="G423" s="30" t="s">
        <v>499</v>
      </c>
      <c r="H423" s="30">
        <v>968817</v>
      </c>
      <c r="I423" s="30"/>
      <c r="J423" s="30" t="s">
        <v>181</v>
      </c>
      <c r="K423" s="214"/>
      <c r="L423" s="143">
        <f>369.409+6.985</f>
        <v>376.39400000000001</v>
      </c>
      <c r="M423" s="214"/>
      <c r="N423" s="220"/>
    </row>
    <row r="424" spans="1:14" ht="15" hidden="1" customHeight="1">
      <c r="A424" s="30" t="s">
        <v>562</v>
      </c>
      <c r="B424" s="30" t="s">
        <v>390</v>
      </c>
      <c r="C424" s="73">
        <v>45352</v>
      </c>
      <c r="D424" s="30">
        <v>558</v>
      </c>
      <c r="E424" s="30" t="s">
        <v>346</v>
      </c>
      <c r="F424" s="30" t="s">
        <v>377</v>
      </c>
      <c r="G424" s="30" t="s">
        <v>500</v>
      </c>
      <c r="H424" s="30">
        <v>697885</v>
      </c>
      <c r="I424" s="30"/>
      <c r="J424" s="30" t="s">
        <v>181</v>
      </c>
      <c r="K424" s="214"/>
      <c r="L424" s="143">
        <v>324.20100000000002</v>
      </c>
      <c r="M424" s="214"/>
      <c r="N424" s="220"/>
    </row>
    <row r="425" spans="1:14" ht="15" hidden="1" customHeight="1">
      <c r="A425" s="30" t="s">
        <v>562</v>
      </c>
      <c r="B425" s="30" t="s">
        <v>390</v>
      </c>
      <c r="C425" s="73">
        <v>45352</v>
      </c>
      <c r="D425" s="30">
        <v>558</v>
      </c>
      <c r="E425" s="30" t="s">
        <v>346</v>
      </c>
      <c r="F425" s="30" t="s">
        <v>377</v>
      </c>
      <c r="G425" s="30" t="s">
        <v>501</v>
      </c>
      <c r="H425" s="30">
        <v>697864</v>
      </c>
      <c r="I425" s="30"/>
      <c r="J425" s="30" t="s">
        <v>181</v>
      </c>
      <c r="K425" s="214"/>
      <c r="L425" s="143">
        <v>219.702</v>
      </c>
      <c r="M425" s="214"/>
      <c r="N425" s="220"/>
    </row>
    <row r="426" spans="1:14" ht="15" hidden="1" customHeight="1">
      <c r="A426" s="30" t="s">
        <v>562</v>
      </c>
      <c r="B426" s="30" t="s">
        <v>390</v>
      </c>
      <c r="C426" s="73">
        <v>45352</v>
      </c>
      <c r="D426" s="30">
        <v>558</v>
      </c>
      <c r="E426" s="30" t="s">
        <v>346</v>
      </c>
      <c r="F426" s="30" t="s">
        <v>377</v>
      </c>
      <c r="G426" s="30" t="s">
        <v>502</v>
      </c>
      <c r="H426" s="30">
        <v>699846</v>
      </c>
      <c r="I426" s="30"/>
      <c r="J426" s="30" t="s">
        <v>181</v>
      </c>
      <c r="K426" s="214"/>
      <c r="L426" s="143"/>
      <c r="M426" s="214"/>
      <c r="N426" s="220"/>
    </row>
    <row r="427" spans="1:14" ht="15" hidden="1" customHeight="1">
      <c r="A427" s="30" t="s">
        <v>562</v>
      </c>
      <c r="B427" s="30" t="s">
        <v>390</v>
      </c>
      <c r="C427" s="73">
        <v>45352</v>
      </c>
      <c r="D427" s="30">
        <v>558</v>
      </c>
      <c r="E427" s="30" t="s">
        <v>346</v>
      </c>
      <c r="F427" s="30" t="s">
        <v>377</v>
      </c>
      <c r="G427" s="30" t="s">
        <v>433</v>
      </c>
      <c r="H427" s="30">
        <v>968833</v>
      </c>
      <c r="I427" s="30"/>
      <c r="J427" s="30" t="s">
        <v>181</v>
      </c>
      <c r="K427" s="214"/>
      <c r="L427" s="143"/>
      <c r="M427" s="214"/>
      <c r="N427" s="220"/>
    </row>
    <row r="428" spans="1:14" ht="15" hidden="1" customHeight="1">
      <c r="A428" s="30" t="s">
        <v>562</v>
      </c>
      <c r="B428" s="30" t="s">
        <v>390</v>
      </c>
      <c r="C428" s="73">
        <v>45352</v>
      </c>
      <c r="D428" s="30">
        <v>558</v>
      </c>
      <c r="E428" s="30" t="s">
        <v>346</v>
      </c>
      <c r="F428" s="30" t="s">
        <v>377</v>
      </c>
      <c r="G428" s="30" t="s">
        <v>434</v>
      </c>
      <c r="H428" s="30">
        <v>701702</v>
      </c>
      <c r="I428" s="30"/>
      <c r="J428" s="30" t="s">
        <v>181</v>
      </c>
      <c r="K428" s="214"/>
      <c r="L428" s="143"/>
      <c r="M428" s="214"/>
      <c r="N428" s="220"/>
    </row>
    <row r="429" spans="1:14" ht="15" hidden="1" customHeight="1">
      <c r="A429" s="30" t="s">
        <v>562</v>
      </c>
      <c r="B429" s="30" t="s">
        <v>390</v>
      </c>
      <c r="C429" s="73">
        <v>45352</v>
      </c>
      <c r="D429" s="30">
        <v>558</v>
      </c>
      <c r="E429" s="30" t="s">
        <v>346</v>
      </c>
      <c r="F429" s="30" t="s">
        <v>377</v>
      </c>
      <c r="G429" s="30" t="s">
        <v>588</v>
      </c>
      <c r="H429" s="30">
        <v>698573</v>
      </c>
      <c r="I429" s="30"/>
      <c r="J429" s="30" t="s">
        <v>181</v>
      </c>
      <c r="K429" s="214"/>
      <c r="L429" s="143">
        <v>77.075999999999993</v>
      </c>
      <c r="M429" s="214"/>
      <c r="N429" s="220"/>
    </row>
    <row r="430" spans="1:14" ht="15" hidden="1" customHeight="1">
      <c r="A430" s="30" t="s">
        <v>562</v>
      </c>
      <c r="B430" s="30" t="s">
        <v>390</v>
      </c>
      <c r="C430" s="73">
        <v>45352</v>
      </c>
      <c r="D430" s="30">
        <v>558</v>
      </c>
      <c r="E430" s="30" t="s">
        <v>346</v>
      </c>
      <c r="F430" s="30" t="s">
        <v>377</v>
      </c>
      <c r="G430" s="30" t="s">
        <v>565</v>
      </c>
      <c r="H430" s="30">
        <v>926065</v>
      </c>
      <c r="I430" s="30"/>
      <c r="J430" s="30" t="s">
        <v>181</v>
      </c>
      <c r="K430" s="214"/>
      <c r="L430" s="143">
        <v>62.792999999999999</v>
      </c>
      <c r="M430" s="214"/>
      <c r="N430" s="220"/>
    </row>
    <row r="431" spans="1:14" ht="15" hidden="1" customHeight="1">
      <c r="A431" s="30" t="s">
        <v>562</v>
      </c>
      <c r="B431" s="30" t="s">
        <v>390</v>
      </c>
      <c r="C431" s="73">
        <v>45352</v>
      </c>
      <c r="D431" s="30">
        <v>558</v>
      </c>
      <c r="E431" s="30" t="s">
        <v>346</v>
      </c>
      <c r="F431" s="30" t="s">
        <v>377</v>
      </c>
      <c r="G431" s="30" t="s">
        <v>566</v>
      </c>
      <c r="H431" s="30">
        <v>698895</v>
      </c>
      <c r="I431" s="30"/>
      <c r="J431" s="30" t="s">
        <v>181</v>
      </c>
      <c r="K431" s="214"/>
      <c r="L431" s="143">
        <v>466.79700000000003</v>
      </c>
      <c r="M431" s="214"/>
      <c r="N431" s="220"/>
    </row>
    <row r="432" spans="1:14" ht="15" hidden="1" customHeight="1">
      <c r="A432" s="30" t="s">
        <v>562</v>
      </c>
      <c r="B432" s="30" t="s">
        <v>390</v>
      </c>
      <c r="C432" s="73">
        <v>45352</v>
      </c>
      <c r="D432" s="30">
        <v>558</v>
      </c>
      <c r="E432" s="30" t="s">
        <v>346</v>
      </c>
      <c r="F432" s="30" t="s">
        <v>377</v>
      </c>
      <c r="G432" s="30" t="s">
        <v>567</v>
      </c>
      <c r="H432" s="30">
        <v>698125</v>
      </c>
      <c r="I432" s="30"/>
      <c r="J432" s="30" t="s">
        <v>181</v>
      </c>
      <c r="K432" s="214"/>
      <c r="L432" s="143">
        <v>504.81599999999997</v>
      </c>
      <c r="M432" s="214"/>
      <c r="N432" s="220"/>
    </row>
    <row r="433" spans="1:14" ht="15" hidden="1" customHeight="1">
      <c r="A433" s="30" t="s">
        <v>562</v>
      </c>
      <c r="B433" s="30" t="s">
        <v>390</v>
      </c>
      <c r="C433" s="73">
        <v>45352</v>
      </c>
      <c r="D433" s="30">
        <v>558</v>
      </c>
      <c r="E433" s="30" t="s">
        <v>346</v>
      </c>
      <c r="F433" s="30" t="s">
        <v>377</v>
      </c>
      <c r="G433" s="30" t="s">
        <v>568</v>
      </c>
      <c r="H433" s="30">
        <v>701488</v>
      </c>
      <c r="I433" s="30"/>
      <c r="J433" s="30" t="s">
        <v>181</v>
      </c>
      <c r="K433" s="214"/>
      <c r="L433" s="143">
        <v>347.05700000000002</v>
      </c>
      <c r="M433" s="214"/>
      <c r="N433" s="220"/>
    </row>
    <row r="434" spans="1:14" ht="15" hidden="1" customHeight="1">
      <c r="A434" s="30" t="s">
        <v>562</v>
      </c>
      <c r="B434" s="30" t="s">
        <v>390</v>
      </c>
      <c r="C434" s="73">
        <v>45352</v>
      </c>
      <c r="D434" s="30">
        <v>558</v>
      </c>
      <c r="E434" s="30" t="s">
        <v>346</v>
      </c>
      <c r="F434" s="30" t="s">
        <v>377</v>
      </c>
      <c r="G434" s="30" t="s">
        <v>569</v>
      </c>
      <c r="H434" s="30">
        <v>968804</v>
      </c>
      <c r="I434" s="30"/>
      <c r="J434" s="30" t="s">
        <v>181</v>
      </c>
      <c r="K434" s="214"/>
      <c r="L434" s="143">
        <v>69.584000000000003</v>
      </c>
      <c r="M434" s="214"/>
      <c r="N434" s="220"/>
    </row>
    <row r="435" spans="1:14" ht="15" hidden="1" customHeight="1">
      <c r="A435" s="30" t="s">
        <v>562</v>
      </c>
      <c r="B435" s="30" t="s">
        <v>390</v>
      </c>
      <c r="C435" s="73">
        <v>45352</v>
      </c>
      <c r="D435" s="30">
        <v>558</v>
      </c>
      <c r="E435" s="30" t="s">
        <v>346</v>
      </c>
      <c r="F435" s="30" t="s">
        <v>377</v>
      </c>
      <c r="G435" s="30" t="s">
        <v>570</v>
      </c>
      <c r="H435" s="30">
        <v>700117</v>
      </c>
      <c r="I435" s="30"/>
      <c r="J435" s="30" t="s">
        <v>181</v>
      </c>
      <c r="K435" s="214"/>
      <c r="L435" s="143">
        <v>214.001</v>
      </c>
      <c r="M435" s="214"/>
      <c r="N435" s="220"/>
    </row>
    <row r="436" spans="1:14" ht="15" hidden="1" customHeight="1">
      <c r="A436" s="30" t="s">
        <v>562</v>
      </c>
      <c r="B436" s="30" t="s">
        <v>390</v>
      </c>
      <c r="C436" s="73">
        <v>45352</v>
      </c>
      <c r="D436" s="30">
        <v>558</v>
      </c>
      <c r="E436" s="30" t="s">
        <v>346</v>
      </c>
      <c r="F436" s="30" t="s">
        <v>377</v>
      </c>
      <c r="G436" s="30" t="s">
        <v>571</v>
      </c>
      <c r="H436" s="30">
        <v>968524</v>
      </c>
      <c r="I436" s="30"/>
      <c r="J436" s="30" t="s">
        <v>181</v>
      </c>
      <c r="K436" s="214"/>
      <c r="L436" s="143">
        <v>321.38200000000001</v>
      </c>
      <c r="M436" s="214"/>
      <c r="N436" s="220"/>
    </row>
    <row r="437" spans="1:14" ht="15" hidden="1" customHeight="1">
      <c r="A437" s="30" t="s">
        <v>562</v>
      </c>
      <c r="B437" s="30" t="s">
        <v>390</v>
      </c>
      <c r="C437" s="73">
        <v>45352</v>
      </c>
      <c r="D437" s="30">
        <v>558</v>
      </c>
      <c r="E437" s="30" t="s">
        <v>346</v>
      </c>
      <c r="F437" s="30" t="s">
        <v>377</v>
      </c>
      <c r="G437" s="30" t="s">
        <v>572</v>
      </c>
      <c r="H437" s="30">
        <v>698086</v>
      </c>
      <c r="I437" s="30"/>
      <c r="J437" s="30" t="s">
        <v>181</v>
      </c>
      <c r="K437" s="214"/>
      <c r="L437" s="143">
        <v>319.83999999999997</v>
      </c>
      <c r="M437" s="214"/>
      <c r="N437" s="220"/>
    </row>
    <row r="438" spans="1:14" ht="15" hidden="1" customHeight="1">
      <c r="A438" s="30" t="s">
        <v>562</v>
      </c>
      <c r="B438" s="30" t="s">
        <v>390</v>
      </c>
      <c r="C438" s="73">
        <v>45352</v>
      </c>
      <c r="D438" s="30">
        <v>558</v>
      </c>
      <c r="E438" s="30" t="s">
        <v>346</v>
      </c>
      <c r="F438" s="30" t="s">
        <v>377</v>
      </c>
      <c r="G438" s="30" t="s">
        <v>573</v>
      </c>
      <c r="H438" s="30">
        <v>968797</v>
      </c>
      <c r="I438" s="30"/>
      <c r="J438" s="30" t="s">
        <v>181</v>
      </c>
      <c r="K438" s="214"/>
      <c r="L438" s="143">
        <v>640.83299999999997</v>
      </c>
      <c r="M438" s="214"/>
      <c r="N438" s="220"/>
    </row>
    <row r="439" spans="1:14" ht="15" hidden="1" customHeight="1">
      <c r="A439" s="30" t="s">
        <v>562</v>
      </c>
      <c r="B439" s="30" t="s">
        <v>390</v>
      </c>
      <c r="C439" s="73">
        <v>45352</v>
      </c>
      <c r="D439" s="30">
        <v>558</v>
      </c>
      <c r="E439" s="30" t="s">
        <v>346</v>
      </c>
      <c r="F439" s="30" t="s">
        <v>377</v>
      </c>
      <c r="G439" s="30" t="s">
        <v>574</v>
      </c>
      <c r="H439" s="30">
        <v>701681</v>
      </c>
      <c r="I439" s="30"/>
      <c r="J439" s="30" t="s">
        <v>181</v>
      </c>
      <c r="K439" s="214"/>
      <c r="L439" s="143">
        <v>396.24299999999999</v>
      </c>
      <c r="M439" s="214"/>
      <c r="N439" s="220"/>
    </row>
    <row r="440" spans="1:14" ht="15" hidden="1" customHeight="1">
      <c r="A440" s="30" t="s">
        <v>562</v>
      </c>
      <c r="B440" s="30" t="s">
        <v>390</v>
      </c>
      <c r="C440" s="73">
        <v>45352</v>
      </c>
      <c r="D440" s="30">
        <v>558</v>
      </c>
      <c r="E440" s="30" t="s">
        <v>346</v>
      </c>
      <c r="F440" s="30" t="s">
        <v>377</v>
      </c>
      <c r="G440" s="30" t="s">
        <v>575</v>
      </c>
      <c r="H440" s="30">
        <v>701636</v>
      </c>
      <c r="I440" s="30"/>
      <c r="J440" s="30" t="s">
        <v>181</v>
      </c>
      <c r="K440" s="214"/>
      <c r="L440" s="143">
        <v>153.24700000000001</v>
      </c>
      <c r="M440" s="214"/>
      <c r="N440" s="220"/>
    </row>
    <row r="441" spans="1:14" ht="15" hidden="1" customHeight="1">
      <c r="A441" s="30" t="s">
        <v>562</v>
      </c>
      <c r="B441" s="30" t="s">
        <v>390</v>
      </c>
      <c r="C441" s="73">
        <v>45352</v>
      </c>
      <c r="D441" s="30">
        <v>558</v>
      </c>
      <c r="E441" s="30" t="s">
        <v>346</v>
      </c>
      <c r="F441" s="30" t="s">
        <v>377</v>
      </c>
      <c r="G441" s="30" t="s">
        <v>483</v>
      </c>
      <c r="H441" s="30">
        <v>968981</v>
      </c>
      <c r="I441" s="30"/>
      <c r="J441" s="30" t="s">
        <v>181</v>
      </c>
      <c r="K441" s="214"/>
      <c r="L441" s="143">
        <v>436.24900000000002</v>
      </c>
      <c r="M441" s="214"/>
      <c r="N441" s="220"/>
    </row>
    <row r="442" spans="1:14" ht="15" hidden="1" customHeight="1">
      <c r="A442" s="30" t="s">
        <v>562</v>
      </c>
      <c r="B442" s="30" t="s">
        <v>390</v>
      </c>
      <c r="C442" s="73">
        <v>45352</v>
      </c>
      <c r="D442" s="30">
        <v>558</v>
      </c>
      <c r="E442" s="30" t="s">
        <v>346</v>
      </c>
      <c r="F442" s="30" t="s">
        <v>377</v>
      </c>
      <c r="G442" s="30" t="s">
        <v>482</v>
      </c>
      <c r="H442" s="30">
        <v>965073</v>
      </c>
      <c r="I442" s="30"/>
      <c r="J442" s="30" t="s">
        <v>181</v>
      </c>
      <c r="K442" s="214"/>
      <c r="L442" s="143">
        <v>45.398000000000003</v>
      </c>
      <c r="M442" s="214"/>
      <c r="N442" s="220"/>
    </row>
    <row r="443" spans="1:14" ht="15" hidden="1" customHeight="1">
      <c r="A443" s="30" t="s">
        <v>562</v>
      </c>
      <c r="B443" s="30" t="s">
        <v>390</v>
      </c>
      <c r="C443" s="73">
        <v>45352</v>
      </c>
      <c r="D443" s="30">
        <v>558</v>
      </c>
      <c r="E443" s="30" t="s">
        <v>346</v>
      </c>
      <c r="F443" s="30" t="s">
        <v>377</v>
      </c>
      <c r="G443" s="30" t="s">
        <v>484</v>
      </c>
      <c r="H443" s="30">
        <v>701930</v>
      </c>
      <c r="I443" s="30"/>
      <c r="J443" s="30" t="s">
        <v>181</v>
      </c>
      <c r="K443" s="214"/>
      <c r="L443" s="143">
        <v>427.37</v>
      </c>
      <c r="M443" s="214"/>
      <c r="N443" s="220"/>
    </row>
    <row r="444" spans="1:14" ht="15" hidden="1" customHeight="1">
      <c r="A444" s="30" t="s">
        <v>562</v>
      </c>
      <c r="B444" s="30" t="s">
        <v>390</v>
      </c>
      <c r="C444" s="73">
        <v>45352</v>
      </c>
      <c r="D444" s="30">
        <v>558</v>
      </c>
      <c r="E444" s="30" t="s">
        <v>346</v>
      </c>
      <c r="F444" s="30" t="s">
        <v>377</v>
      </c>
      <c r="G444" s="30" t="s">
        <v>411</v>
      </c>
      <c r="H444" s="30">
        <v>701672</v>
      </c>
      <c r="I444" s="30"/>
      <c r="J444" s="30" t="s">
        <v>181</v>
      </c>
      <c r="K444" s="214"/>
      <c r="L444" s="143">
        <v>558.42600000000004</v>
      </c>
      <c r="M444" s="214"/>
      <c r="N444" s="220"/>
    </row>
    <row r="445" spans="1:14" ht="15" hidden="1" customHeight="1">
      <c r="A445" s="30" t="s">
        <v>562</v>
      </c>
      <c r="B445" s="30" t="s">
        <v>390</v>
      </c>
      <c r="C445" s="73">
        <v>45352</v>
      </c>
      <c r="D445" s="30">
        <v>558</v>
      </c>
      <c r="E445" s="30" t="s">
        <v>346</v>
      </c>
      <c r="F445" s="30" t="s">
        <v>377</v>
      </c>
      <c r="G445" s="30" t="s">
        <v>576</v>
      </c>
      <c r="H445" s="30">
        <v>701661</v>
      </c>
      <c r="I445" s="30"/>
      <c r="J445" s="30" t="s">
        <v>181</v>
      </c>
      <c r="K445" s="214"/>
      <c r="L445" s="143">
        <v>247.49700000000001</v>
      </c>
      <c r="M445" s="214"/>
      <c r="N445" s="220"/>
    </row>
    <row r="446" spans="1:14" ht="15" hidden="1" customHeight="1">
      <c r="A446" s="30" t="s">
        <v>562</v>
      </c>
      <c r="B446" s="30" t="s">
        <v>390</v>
      </c>
      <c r="C446" s="73">
        <v>45352</v>
      </c>
      <c r="D446" s="30">
        <v>558</v>
      </c>
      <c r="E446" s="30" t="s">
        <v>346</v>
      </c>
      <c r="F446" s="30" t="s">
        <v>377</v>
      </c>
      <c r="G446" s="30" t="s">
        <v>577</v>
      </c>
      <c r="H446" s="30">
        <v>961377</v>
      </c>
      <c r="I446" s="30"/>
      <c r="J446" s="30" t="s">
        <v>181</v>
      </c>
      <c r="K446" s="214"/>
      <c r="L446" s="144">
        <v>150.83099999999999</v>
      </c>
      <c r="M446" s="214"/>
      <c r="N446" s="220"/>
    </row>
    <row r="447" spans="1:14" ht="15" hidden="1" customHeight="1">
      <c r="A447" s="30" t="s">
        <v>562</v>
      </c>
      <c r="B447" s="30" t="s">
        <v>390</v>
      </c>
      <c r="C447" s="73">
        <v>45352</v>
      </c>
      <c r="D447" s="30">
        <v>558</v>
      </c>
      <c r="E447" s="30" t="s">
        <v>346</v>
      </c>
      <c r="F447" s="30" t="s">
        <v>377</v>
      </c>
      <c r="G447" s="30" t="s">
        <v>578</v>
      </c>
      <c r="H447" s="30">
        <v>697900</v>
      </c>
      <c r="I447" s="30"/>
      <c r="J447" s="30" t="s">
        <v>181</v>
      </c>
      <c r="K447" s="214"/>
      <c r="L447" s="143">
        <v>238.155</v>
      </c>
      <c r="M447" s="214"/>
      <c r="N447" s="220"/>
    </row>
    <row r="448" spans="1:14" ht="15" hidden="1" customHeight="1">
      <c r="A448" s="30" t="s">
        <v>562</v>
      </c>
      <c r="B448" s="30" t="s">
        <v>390</v>
      </c>
      <c r="C448" s="73">
        <v>45352</v>
      </c>
      <c r="D448" s="30">
        <v>558</v>
      </c>
      <c r="E448" s="30" t="s">
        <v>346</v>
      </c>
      <c r="F448" s="30" t="s">
        <v>377</v>
      </c>
      <c r="G448" s="30" t="s">
        <v>579</v>
      </c>
      <c r="H448" s="30">
        <v>954711</v>
      </c>
      <c r="I448" s="30"/>
      <c r="J448" s="30" t="s">
        <v>181</v>
      </c>
      <c r="K448" s="214"/>
      <c r="L448" s="143">
        <v>49.722000000000001</v>
      </c>
      <c r="M448" s="214"/>
      <c r="N448" s="220"/>
    </row>
    <row r="449" spans="1:14" ht="15" hidden="1" customHeight="1">
      <c r="A449" s="30" t="s">
        <v>562</v>
      </c>
      <c r="B449" s="30" t="s">
        <v>390</v>
      </c>
      <c r="C449" s="73">
        <v>45352</v>
      </c>
      <c r="D449" s="30">
        <v>558</v>
      </c>
      <c r="E449" s="30" t="s">
        <v>346</v>
      </c>
      <c r="F449" s="30" t="s">
        <v>377</v>
      </c>
      <c r="G449" s="30" t="s">
        <v>580</v>
      </c>
      <c r="H449" s="30">
        <v>968716</v>
      </c>
      <c r="I449" s="30"/>
      <c r="J449" s="30" t="s">
        <v>181</v>
      </c>
      <c r="K449" s="214"/>
      <c r="L449" s="143">
        <v>168.43899999999999</v>
      </c>
      <c r="M449" s="214"/>
      <c r="N449" s="220"/>
    </row>
    <row r="450" spans="1:14" ht="15" hidden="1" customHeight="1">
      <c r="A450" s="30" t="s">
        <v>562</v>
      </c>
      <c r="B450" s="30" t="s">
        <v>390</v>
      </c>
      <c r="C450" s="73">
        <v>45352</v>
      </c>
      <c r="D450" s="30">
        <v>558</v>
      </c>
      <c r="E450" s="30" t="s">
        <v>346</v>
      </c>
      <c r="F450" s="30" t="s">
        <v>377</v>
      </c>
      <c r="G450" s="30" t="s">
        <v>581</v>
      </c>
      <c r="H450" s="30">
        <v>951136</v>
      </c>
      <c r="I450" s="30"/>
      <c r="J450" s="30" t="s">
        <v>181</v>
      </c>
      <c r="K450" s="214"/>
      <c r="L450" s="143">
        <v>109.447</v>
      </c>
      <c r="M450" s="214"/>
      <c r="N450" s="220"/>
    </row>
    <row r="451" spans="1:14" ht="15" hidden="1" customHeight="1">
      <c r="A451" s="30" t="s">
        <v>562</v>
      </c>
      <c r="B451" s="30" t="s">
        <v>390</v>
      </c>
      <c r="C451" s="73">
        <v>45352</v>
      </c>
      <c r="D451" s="30">
        <v>558</v>
      </c>
      <c r="E451" s="30" t="s">
        <v>346</v>
      </c>
      <c r="F451" s="30" t="s">
        <v>377</v>
      </c>
      <c r="G451" s="30" t="s">
        <v>582</v>
      </c>
      <c r="H451" s="30">
        <v>699999</v>
      </c>
      <c r="I451" s="30"/>
      <c r="J451" s="30" t="s">
        <v>181</v>
      </c>
      <c r="K451" s="214"/>
      <c r="L451" s="143">
        <v>149.13499999999999</v>
      </c>
      <c r="M451" s="214"/>
      <c r="N451" s="220"/>
    </row>
    <row r="452" spans="1:14" ht="15" hidden="1" customHeight="1">
      <c r="A452" s="30" t="s">
        <v>562</v>
      </c>
      <c r="B452" s="30" t="s">
        <v>390</v>
      </c>
      <c r="C452" s="73">
        <v>45352</v>
      </c>
      <c r="D452" s="30">
        <v>558</v>
      </c>
      <c r="E452" s="30" t="s">
        <v>346</v>
      </c>
      <c r="F452" s="30" t="s">
        <v>377</v>
      </c>
      <c r="G452" s="30" t="s">
        <v>583</v>
      </c>
      <c r="H452" s="30">
        <v>701699</v>
      </c>
      <c r="I452" s="30"/>
      <c r="J452" s="30" t="s">
        <v>181</v>
      </c>
      <c r="K452" s="215"/>
      <c r="L452" s="143"/>
      <c r="M452" s="215"/>
      <c r="N452" s="221"/>
    </row>
    <row r="453" spans="1:14" ht="15" hidden="1" customHeight="1">
      <c r="A453" s="30" t="s">
        <v>562</v>
      </c>
      <c r="B453" s="30" t="s">
        <v>390</v>
      </c>
      <c r="C453" s="73">
        <v>45352</v>
      </c>
      <c r="D453" s="30">
        <v>558</v>
      </c>
      <c r="E453" s="30" t="s">
        <v>346</v>
      </c>
      <c r="F453" s="30" t="s">
        <v>377</v>
      </c>
      <c r="G453" s="30" t="s">
        <v>563</v>
      </c>
      <c r="H453" s="30">
        <v>701723</v>
      </c>
      <c r="I453" s="30"/>
      <c r="J453" s="30" t="s">
        <v>182</v>
      </c>
      <c r="K453" s="213">
        <v>2510.4340000000002</v>
      </c>
      <c r="L453" s="143">
        <v>91.760999999999996</v>
      </c>
      <c r="M453" s="213">
        <f>K453-(SUM(L453:L484))</f>
        <v>-2509.2000000000016</v>
      </c>
      <c r="N453" s="219">
        <f>(SUM(L453:L484))/K453</f>
        <v>1.9995084515267088</v>
      </c>
    </row>
    <row r="454" spans="1:14" ht="15" hidden="1" customHeight="1">
      <c r="A454" s="30" t="s">
        <v>562</v>
      </c>
      <c r="B454" s="30" t="s">
        <v>390</v>
      </c>
      <c r="C454" s="73">
        <v>45352</v>
      </c>
      <c r="D454" s="30">
        <v>558</v>
      </c>
      <c r="E454" s="30" t="s">
        <v>346</v>
      </c>
      <c r="F454" s="30" t="s">
        <v>377</v>
      </c>
      <c r="G454" s="30" t="s">
        <v>564</v>
      </c>
      <c r="H454" s="30">
        <v>967577</v>
      </c>
      <c r="I454" s="30"/>
      <c r="J454" s="30" t="s">
        <v>182</v>
      </c>
      <c r="K454" s="214"/>
      <c r="L454" s="143">
        <v>49.703000000000003</v>
      </c>
      <c r="M454" s="214"/>
      <c r="N454" s="220"/>
    </row>
    <row r="455" spans="1:14" ht="15" hidden="1" customHeight="1">
      <c r="A455" s="30" t="s">
        <v>562</v>
      </c>
      <c r="B455" s="30" t="s">
        <v>390</v>
      </c>
      <c r="C455" s="73">
        <v>45352</v>
      </c>
      <c r="D455" s="30">
        <v>558</v>
      </c>
      <c r="E455" s="30" t="s">
        <v>346</v>
      </c>
      <c r="F455" s="30" t="s">
        <v>377</v>
      </c>
      <c r="G455" s="30" t="s">
        <v>499</v>
      </c>
      <c r="H455" s="30">
        <v>968817</v>
      </c>
      <c r="I455" s="30"/>
      <c r="J455" s="30" t="s">
        <v>182</v>
      </c>
      <c r="K455" s="214"/>
      <c r="L455" s="143">
        <v>284.654</v>
      </c>
      <c r="M455" s="214"/>
      <c r="N455" s="220"/>
    </row>
    <row r="456" spans="1:14" ht="15" hidden="1" customHeight="1">
      <c r="A456" s="30" t="s">
        <v>562</v>
      </c>
      <c r="B456" s="30" t="s">
        <v>390</v>
      </c>
      <c r="C456" s="73">
        <v>45352</v>
      </c>
      <c r="D456" s="30">
        <v>558</v>
      </c>
      <c r="E456" s="30" t="s">
        <v>346</v>
      </c>
      <c r="F456" s="30" t="s">
        <v>377</v>
      </c>
      <c r="G456" s="30" t="s">
        <v>500</v>
      </c>
      <c r="H456" s="30">
        <v>697885</v>
      </c>
      <c r="I456" s="30"/>
      <c r="J456" s="30" t="s">
        <v>182</v>
      </c>
      <c r="K456" s="214"/>
      <c r="L456" s="143">
        <v>218.36199999999999</v>
      </c>
      <c r="M456" s="214"/>
      <c r="N456" s="220"/>
    </row>
    <row r="457" spans="1:14" ht="15" hidden="1" customHeight="1">
      <c r="A457" s="30" t="s">
        <v>562</v>
      </c>
      <c r="B457" s="30" t="s">
        <v>390</v>
      </c>
      <c r="C457" s="73">
        <v>45352</v>
      </c>
      <c r="D457" s="30">
        <v>558</v>
      </c>
      <c r="E457" s="30" t="s">
        <v>346</v>
      </c>
      <c r="F457" s="30" t="s">
        <v>377</v>
      </c>
      <c r="G457" s="30" t="s">
        <v>501</v>
      </c>
      <c r="H457" s="30">
        <v>697864</v>
      </c>
      <c r="I457" s="30"/>
      <c r="J457" s="30" t="s">
        <v>182</v>
      </c>
      <c r="K457" s="214"/>
      <c r="L457" s="143">
        <v>188.07400000000001</v>
      </c>
      <c r="M457" s="214"/>
      <c r="N457" s="220"/>
    </row>
    <row r="458" spans="1:14" ht="15" hidden="1" customHeight="1">
      <c r="A458" s="30" t="s">
        <v>562</v>
      </c>
      <c r="B458" s="30" t="s">
        <v>390</v>
      </c>
      <c r="C458" s="73">
        <v>45352</v>
      </c>
      <c r="D458" s="30">
        <v>558</v>
      </c>
      <c r="E458" s="30" t="s">
        <v>346</v>
      </c>
      <c r="F458" s="30" t="s">
        <v>377</v>
      </c>
      <c r="G458" s="30" t="s">
        <v>502</v>
      </c>
      <c r="H458" s="30">
        <v>699846</v>
      </c>
      <c r="I458" s="30"/>
      <c r="J458" s="30" t="s">
        <v>182</v>
      </c>
      <c r="K458" s="214"/>
      <c r="L458" s="143"/>
      <c r="M458" s="214"/>
      <c r="N458" s="220"/>
    </row>
    <row r="459" spans="1:14" ht="15" hidden="1" customHeight="1">
      <c r="A459" s="30" t="s">
        <v>562</v>
      </c>
      <c r="B459" s="30" t="s">
        <v>390</v>
      </c>
      <c r="C459" s="73">
        <v>45352</v>
      </c>
      <c r="D459" s="30">
        <v>558</v>
      </c>
      <c r="E459" s="30" t="s">
        <v>346</v>
      </c>
      <c r="F459" s="30" t="s">
        <v>377</v>
      </c>
      <c r="G459" s="30" t="s">
        <v>433</v>
      </c>
      <c r="H459" s="30">
        <v>968833</v>
      </c>
      <c r="I459" s="30"/>
      <c r="J459" s="30" t="s">
        <v>182</v>
      </c>
      <c r="K459" s="214"/>
      <c r="L459" s="143"/>
      <c r="M459" s="214"/>
      <c r="N459" s="220"/>
    </row>
    <row r="460" spans="1:14" ht="15" hidden="1" customHeight="1">
      <c r="A460" s="30" t="s">
        <v>562</v>
      </c>
      <c r="B460" s="30" t="s">
        <v>390</v>
      </c>
      <c r="C460" s="73">
        <v>45352</v>
      </c>
      <c r="D460" s="30">
        <v>558</v>
      </c>
      <c r="E460" s="30" t="s">
        <v>346</v>
      </c>
      <c r="F460" s="30" t="s">
        <v>377</v>
      </c>
      <c r="G460" s="30" t="s">
        <v>434</v>
      </c>
      <c r="H460" s="30">
        <v>701702</v>
      </c>
      <c r="I460" s="30"/>
      <c r="J460" s="30" t="s">
        <v>182</v>
      </c>
      <c r="K460" s="214"/>
      <c r="L460" s="143"/>
      <c r="M460" s="214"/>
      <c r="N460" s="220"/>
    </row>
    <row r="461" spans="1:14" ht="15" hidden="1" customHeight="1">
      <c r="A461" s="30" t="s">
        <v>562</v>
      </c>
      <c r="B461" s="30" t="s">
        <v>390</v>
      </c>
      <c r="C461" s="73">
        <v>45352</v>
      </c>
      <c r="D461" s="30">
        <v>558</v>
      </c>
      <c r="E461" s="30" t="s">
        <v>346</v>
      </c>
      <c r="F461" s="30" t="s">
        <v>377</v>
      </c>
      <c r="G461" s="30" t="s">
        <v>588</v>
      </c>
      <c r="H461" s="30">
        <v>698573</v>
      </c>
      <c r="I461" s="30"/>
      <c r="J461" s="30" t="s">
        <v>182</v>
      </c>
      <c r="K461" s="214"/>
      <c r="L461" s="143">
        <v>205.71199999999999</v>
      </c>
      <c r="M461" s="214"/>
      <c r="N461" s="220"/>
    </row>
    <row r="462" spans="1:14" ht="15" hidden="1" customHeight="1">
      <c r="A462" s="30" t="s">
        <v>562</v>
      </c>
      <c r="B462" s="30" t="s">
        <v>390</v>
      </c>
      <c r="C462" s="73">
        <v>45352</v>
      </c>
      <c r="D462" s="30">
        <v>558</v>
      </c>
      <c r="E462" s="30" t="s">
        <v>346</v>
      </c>
      <c r="F462" s="30" t="s">
        <v>377</v>
      </c>
      <c r="G462" s="30" t="s">
        <v>565</v>
      </c>
      <c r="H462" s="30">
        <v>926065</v>
      </c>
      <c r="I462" s="30"/>
      <c r="J462" s="30" t="s">
        <v>182</v>
      </c>
      <c r="K462" s="214"/>
      <c r="L462" s="143">
        <v>17.102</v>
      </c>
      <c r="M462" s="214"/>
      <c r="N462" s="220"/>
    </row>
    <row r="463" spans="1:14" ht="15" hidden="1" customHeight="1">
      <c r="A463" s="30" t="s">
        <v>562</v>
      </c>
      <c r="B463" s="30" t="s">
        <v>390</v>
      </c>
      <c r="C463" s="73">
        <v>45352</v>
      </c>
      <c r="D463" s="30">
        <v>558</v>
      </c>
      <c r="E463" s="30" t="s">
        <v>346</v>
      </c>
      <c r="F463" s="30" t="s">
        <v>377</v>
      </c>
      <c r="G463" s="30" t="s">
        <v>566</v>
      </c>
      <c r="H463" s="30">
        <v>698895</v>
      </c>
      <c r="I463" s="30"/>
      <c r="J463" s="30" t="s">
        <v>182</v>
      </c>
      <c r="K463" s="214"/>
      <c r="L463" s="143">
        <v>507.30599999999998</v>
      </c>
      <c r="M463" s="214"/>
      <c r="N463" s="220"/>
    </row>
    <row r="464" spans="1:14" ht="15" hidden="1" customHeight="1">
      <c r="A464" s="30" t="s">
        <v>562</v>
      </c>
      <c r="B464" s="30" t="s">
        <v>390</v>
      </c>
      <c r="C464" s="73">
        <v>45352</v>
      </c>
      <c r="D464" s="30">
        <v>558</v>
      </c>
      <c r="E464" s="30" t="s">
        <v>346</v>
      </c>
      <c r="F464" s="30" t="s">
        <v>377</v>
      </c>
      <c r="G464" s="30" t="s">
        <v>567</v>
      </c>
      <c r="H464" s="30">
        <v>698125</v>
      </c>
      <c r="I464" s="30"/>
      <c r="J464" s="30" t="s">
        <v>182</v>
      </c>
      <c r="K464" s="214"/>
      <c r="L464" s="143">
        <v>501.62700000000001</v>
      </c>
      <c r="M464" s="214"/>
      <c r="N464" s="220"/>
    </row>
    <row r="465" spans="1:14" ht="15" hidden="1" customHeight="1">
      <c r="A465" s="30" t="s">
        <v>562</v>
      </c>
      <c r="B465" s="30" t="s">
        <v>390</v>
      </c>
      <c r="C465" s="73">
        <v>45352</v>
      </c>
      <c r="D465" s="30">
        <v>558</v>
      </c>
      <c r="E465" s="30" t="s">
        <v>346</v>
      </c>
      <c r="F465" s="30" t="s">
        <v>377</v>
      </c>
      <c r="G465" s="30" t="s">
        <v>568</v>
      </c>
      <c r="H465" s="30">
        <v>701488</v>
      </c>
      <c r="I465" s="30"/>
      <c r="J465" s="30" t="s">
        <v>182</v>
      </c>
      <c r="K465" s="214"/>
      <c r="L465" s="143">
        <v>352.46699999999998</v>
      </c>
      <c r="M465" s="214"/>
      <c r="N465" s="220"/>
    </row>
    <row r="466" spans="1:14" ht="15" hidden="1" customHeight="1">
      <c r="A466" s="30" t="s">
        <v>562</v>
      </c>
      <c r="B466" s="30" t="s">
        <v>390</v>
      </c>
      <c r="C466" s="73">
        <v>45352</v>
      </c>
      <c r="D466" s="30">
        <v>558</v>
      </c>
      <c r="E466" s="30" t="s">
        <v>346</v>
      </c>
      <c r="F466" s="30" t="s">
        <v>377</v>
      </c>
      <c r="G466" s="30" t="s">
        <v>569</v>
      </c>
      <c r="H466" s="30">
        <v>968804</v>
      </c>
      <c r="I466" s="30"/>
      <c r="J466" s="30" t="s">
        <v>182</v>
      </c>
      <c r="K466" s="214"/>
      <c r="L466" s="143">
        <v>149.06700000000001</v>
      </c>
      <c r="M466" s="214"/>
      <c r="N466" s="220"/>
    </row>
    <row r="467" spans="1:14" ht="15" hidden="1" customHeight="1">
      <c r="A467" s="30" t="s">
        <v>562</v>
      </c>
      <c r="B467" s="30" t="s">
        <v>390</v>
      </c>
      <c r="C467" s="73">
        <v>45352</v>
      </c>
      <c r="D467" s="30">
        <v>558</v>
      </c>
      <c r="E467" s="30" t="s">
        <v>346</v>
      </c>
      <c r="F467" s="30" t="s">
        <v>377</v>
      </c>
      <c r="G467" s="30" t="s">
        <v>570</v>
      </c>
      <c r="H467" s="30">
        <v>700117</v>
      </c>
      <c r="I467" s="30"/>
      <c r="J467" s="30" t="s">
        <v>182</v>
      </c>
      <c r="K467" s="214"/>
      <c r="L467" s="143">
        <v>288.64400000000001</v>
      </c>
      <c r="M467" s="214"/>
      <c r="N467" s="220"/>
    </row>
    <row r="468" spans="1:14" ht="15" hidden="1" customHeight="1">
      <c r="A468" s="30" t="s">
        <v>562</v>
      </c>
      <c r="B468" s="30" t="s">
        <v>390</v>
      </c>
      <c r="C468" s="73">
        <v>45352</v>
      </c>
      <c r="D468" s="30">
        <v>558</v>
      </c>
      <c r="E468" s="30" t="s">
        <v>346</v>
      </c>
      <c r="F468" s="30" t="s">
        <v>377</v>
      </c>
      <c r="G468" s="30" t="s">
        <v>571</v>
      </c>
      <c r="H468" s="30">
        <v>968524</v>
      </c>
      <c r="I468" s="30"/>
      <c r="J468" s="30" t="s">
        <v>182</v>
      </c>
      <c r="K468" s="214"/>
      <c r="L468" s="143">
        <v>81.813000000000002</v>
      </c>
      <c r="M468" s="214"/>
      <c r="N468" s="220"/>
    </row>
    <row r="469" spans="1:14" ht="15" hidden="1" customHeight="1">
      <c r="A469" s="30" t="s">
        <v>562</v>
      </c>
      <c r="B469" s="30" t="s">
        <v>390</v>
      </c>
      <c r="C469" s="73">
        <v>45352</v>
      </c>
      <c r="D469" s="30">
        <v>558</v>
      </c>
      <c r="E469" s="30" t="s">
        <v>346</v>
      </c>
      <c r="F469" s="30" t="s">
        <v>377</v>
      </c>
      <c r="G469" s="30" t="s">
        <v>572</v>
      </c>
      <c r="H469" s="30">
        <v>698086</v>
      </c>
      <c r="I469" s="30"/>
      <c r="J469" s="30" t="s">
        <v>182</v>
      </c>
      <c r="K469" s="214"/>
      <c r="L469" s="143">
        <v>110.23</v>
      </c>
      <c r="M469" s="214"/>
      <c r="N469" s="220"/>
    </row>
    <row r="470" spans="1:14" ht="15" hidden="1" customHeight="1">
      <c r="A470" s="30" t="s">
        <v>562</v>
      </c>
      <c r="B470" s="30" t="s">
        <v>390</v>
      </c>
      <c r="C470" s="73">
        <v>45352</v>
      </c>
      <c r="D470" s="30">
        <v>558</v>
      </c>
      <c r="E470" s="30" t="s">
        <v>346</v>
      </c>
      <c r="F470" s="30" t="s">
        <v>377</v>
      </c>
      <c r="G470" s="30" t="s">
        <v>573</v>
      </c>
      <c r="H470" s="30">
        <v>968797</v>
      </c>
      <c r="I470" s="30"/>
      <c r="J470" s="30" t="s">
        <v>182</v>
      </c>
      <c r="K470" s="214"/>
      <c r="L470" s="143">
        <v>168.99100000000001</v>
      </c>
      <c r="M470" s="214"/>
      <c r="N470" s="220"/>
    </row>
    <row r="471" spans="1:14" ht="15" hidden="1" customHeight="1">
      <c r="A471" s="30" t="s">
        <v>562</v>
      </c>
      <c r="B471" s="30" t="s">
        <v>390</v>
      </c>
      <c r="C471" s="73">
        <v>45352</v>
      </c>
      <c r="D471" s="30">
        <v>558</v>
      </c>
      <c r="E471" s="30" t="s">
        <v>346</v>
      </c>
      <c r="F471" s="30" t="s">
        <v>377</v>
      </c>
      <c r="G471" s="30" t="s">
        <v>574</v>
      </c>
      <c r="H471" s="30">
        <v>701636</v>
      </c>
      <c r="I471" s="30"/>
      <c r="J471" s="30" t="s">
        <v>182</v>
      </c>
      <c r="K471" s="214"/>
      <c r="L471" s="143">
        <v>152.815</v>
      </c>
      <c r="M471" s="214"/>
      <c r="N471" s="220"/>
    </row>
    <row r="472" spans="1:14" ht="15" hidden="1" customHeight="1">
      <c r="A472" s="30" t="s">
        <v>562</v>
      </c>
      <c r="B472" s="30" t="s">
        <v>390</v>
      </c>
      <c r="C472" s="73">
        <v>45352</v>
      </c>
      <c r="D472" s="30">
        <v>558</v>
      </c>
      <c r="E472" s="30" t="s">
        <v>346</v>
      </c>
      <c r="F472" s="30" t="s">
        <v>377</v>
      </c>
      <c r="G472" s="30" t="s">
        <v>575</v>
      </c>
      <c r="H472" s="30">
        <v>701636</v>
      </c>
      <c r="I472" s="30"/>
      <c r="J472" s="30" t="s">
        <v>182</v>
      </c>
      <c r="K472" s="214"/>
      <c r="L472" s="143">
        <v>129.11600000000001</v>
      </c>
      <c r="M472" s="214"/>
      <c r="N472" s="220"/>
    </row>
    <row r="473" spans="1:14" ht="15" hidden="1" customHeight="1">
      <c r="A473" s="30" t="s">
        <v>562</v>
      </c>
      <c r="B473" s="30" t="s">
        <v>390</v>
      </c>
      <c r="C473" s="73">
        <v>45352</v>
      </c>
      <c r="D473" s="30">
        <v>558</v>
      </c>
      <c r="E473" s="30" t="s">
        <v>346</v>
      </c>
      <c r="F473" s="30" t="s">
        <v>377</v>
      </c>
      <c r="G473" s="30" t="s">
        <v>483</v>
      </c>
      <c r="H473" s="30">
        <v>968981</v>
      </c>
      <c r="I473" s="30"/>
      <c r="J473" s="30" t="s">
        <v>182</v>
      </c>
      <c r="K473" s="214"/>
      <c r="L473" s="143">
        <v>68.084999999999994</v>
      </c>
      <c r="M473" s="214"/>
      <c r="N473" s="220"/>
    </row>
    <row r="474" spans="1:14" ht="15" hidden="1" customHeight="1">
      <c r="A474" s="30" t="s">
        <v>562</v>
      </c>
      <c r="B474" s="30" t="s">
        <v>390</v>
      </c>
      <c r="C474" s="73">
        <v>45352</v>
      </c>
      <c r="D474" s="30">
        <v>558</v>
      </c>
      <c r="E474" s="30" t="s">
        <v>346</v>
      </c>
      <c r="F474" s="30" t="s">
        <v>377</v>
      </c>
      <c r="G474" s="30" t="s">
        <v>482</v>
      </c>
      <c r="H474" s="30">
        <v>965073</v>
      </c>
      <c r="I474" s="30"/>
      <c r="J474" s="30" t="s">
        <v>182</v>
      </c>
      <c r="K474" s="214"/>
      <c r="L474" s="143">
        <v>11.753</v>
      </c>
      <c r="M474" s="214"/>
      <c r="N474" s="220"/>
    </row>
    <row r="475" spans="1:14" ht="15" hidden="1" customHeight="1">
      <c r="A475" s="30" t="s">
        <v>562</v>
      </c>
      <c r="B475" s="30" t="s">
        <v>390</v>
      </c>
      <c r="C475" s="73">
        <v>45352</v>
      </c>
      <c r="D475" s="30">
        <v>558</v>
      </c>
      <c r="E475" s="30" t="s">
        <v>346</v>
      </c>
      <c r="F475" s="30" t="s">
        <v>377</v>
      </c>
      <c r="G475" s="30" t="s">
        <v>484</v>
      </c>
      <c r="H475" s="30">
        <v>701672</v>
      </c>
      <c r="I475" s="30"/>
      <c r="J475" s="30" t="s">
        <v>182</v>
      </c>
      <c r="K475" s="214"/>
      <c r="L475" s="143">
        <v>226.61500000000001</v>
      </c>
      <c r="M475" s="214"/>
      <c r="N475" s="220"/>
    </row>
    <row r="476" spans="1:14" ht="15" hidden="1" customHeight="1">
      <c r="A476" s="30" t="s">
        <v>562</v>
      </c>
      <c r="B476" s="30" t="s">
        <v>390</v>
      </c>
      <c r="C476" s="73">
        <v>45352</v>
      </c>
      <c r="D476" s="30">
        <v>558</v>
      </c>
      <c r="E476" s="30" t="s">
        <v>346</v>
      </c>
      <c r="F476" s="30" t="s">
        <v>377</v>
      </c>
      <c r="G476" s="30" t="s">
        <v>411</v>
      </c>
      <c r="H476" s="30">
        <v>701672</v>
      </c>
      <c r="I476" s="30"/>
      <c r="J476" s="30" t="s">
        <v>182</v>
      </c>
      <c r="K476" s="214"/>
      <c r="L476" s="143">
        <v>223.06</v>
      </c>
      <c r="M476" s="214"/>
      <c r="N476" s="220"/>
    </row>
    <row r="477" spans="1:14" ht="15" hidden="1" customHeight="1">
      <c r="A477" s="30" t="s">
        <v>562</v>
      </c>
      <c r="B477" s="30" t="s">
        <v>390</v>
      </c>
      <c r="C477" s="73">
        <v>45352</v>
      </c>
      <c r="D477" s="30">
        <v>558</v>
      </c>
      <c r="E477" s="30" t="s">
        <v>346</v>
      </c>
      <c r="F477" s="30" t="s">
        <v>377</v>
      </c>
      <c r="G477" s="30" t="s">
        <v>576</v>
      </c>
      <c r="H477" s="30">
        <v>701661</v>
      </c>
      <c r="I477" s="30"/>
      <c r="J477" s="30" t="s">
        <v>182</v>
      </c>
      <c r="K477" s="214"/>
      <c r="L477" s="143">
        <v>142.73599999999999</v>
      </c>
      <c r="M477" s="214"/>
      <c r="N477" s="220"/>
    </row>
    <row r="478" spans="1:14" ht="15" hidden="1" customHeight="1">
      <c r="A478" s="30" t="s">
        <v>562</v>
      </c>
      <c r="B478" s="30" t="s">
        <v>390</v>
      </c>
      <c r="C478" s="73">
        <v>45352</v>
      </c>
      <c r="D478" s="30">
        <v>558</v>
      </c>
      <c r="E478" s="30" t="s">
        <v>346</v>
      </c>
      <c r="F478" s="30" t="s">
        <v>377</v>
      </c>
      <c r="G478" s="30" t="s">
        <v>577</v>
      </c>
      <c r="H478" s="30">
        <v>961377</v>
      </c>
      <c r="I478" s="30"/>
      <c r="J478" s="30" t="s">
        <v>182</v>
      </c>
      <c r="K478" s="214"/>
      <c r="L478" s="143">
        <v>131.124</v>
      </c>
      <c r="M478" s="214"/>
      <c r="N478" s="220"/>
    </row>
    <row r="479" spans="1:14" ht="15" hidden="1" customHeight="1">
      <c r="A479" s="30" t="s">
        <v>562</v>
      </c>
      <c r="B479" s="30" t="s">
        <v>390</v>
      </c>
      <c r="C479" s="73">
        <v>45352</v>
      </c>
      <c r="D479" s="30">
        <v>558</v>
      </c>
      <c r="E479" s="30" t="s">
        <v>346</v>
      </c>
      <c r="F479" s="30" t="s">
        <v>377</v>
      </c>
      <c r="G479" s="30" t="s">
        <v>578</v>
      </c>
      <c r="H479" s="30">
        <v>697900</v>
      </c>
      <c r="I479" s="30"/>
      <c r="J479" s="30" t="s">
        <v>182</v>
      </c>
      <c r="K479" s="214"/>
      <c r="L479" s="143">
        <v>221.99100000000001</v>
      </c>
      <c r="M479" s="214"/>
      <c r="N479" s="220"/>
    </row>
    <row r="480" spans="1:14" ht="15" hidden="1" customHeight="1">
      <c r="A480" s="30" t="s">
        <v>562</v>
      </c>
      <c r="B480" s="30" t="s">
        <v>390</v>
      </c>
      <c r="C480" s="73">
        <v>45352</v>
      </c>
      <c r="D480" s="30">
        <v>558</v>
      </c>
      <c r="E480" s="30" t="s">
        <v>346</v>
      </c>
      <c r="F480" s="30" t="s">
        <v>377</v>
      </c>
      <c r="G480" s="30" t="s">
        <v>579</v>
      </c>
      <c r="H480" s="30">
        <v>954711</v>
      </c>
      <c r="I480" s="30"/>
      <c r="J480" s="30" t="s">
        <v>182</v>
      </c>
      <c r="K480" s="214"/>
      <c r="L480" s="143">
        <v>143.35</v>
      </c>
      <c r="M480" s="214"/>
      <c r="N480" s="220"/>
    </row>
    <row r="481" spans="1:14" ht="15" hidden="1" customHeight="1">
      <c r="A481" s="30" t="s">
        <v>562</v>
      </c>
      <c r="B481" s="30" t="s">
        <v>390</v>
      </c>
      <c r="C481" s="73">
        <v>45352</v>
      </c>
      <c r="D481" s="30">
        <v>558</v>
      </c>
      <c r="E481" s="30" t="s">
        <v>346</v>
      </c>
      <c r="F481" s="30" t="s">
        <v>377</v>
      </c>
      <c r="G481" s="30" t="s">
        <v>580</v>
      </c>
      <c r="H481" s="30">
        <v>968716</v>
      </c>
      <c r="I481" s="30"/>
      <c r="J481" s="30" t="s">
        <v>182</v>
      </c>
      <c r="K481" s="214"/>
      <c r="L481" s="143">
        <v>139.197</v>
      </c>
      <c r="M481" s="214"/>
      <c r="N481" s="220"/>
    </row>
    <row r="482" spans="1:14" ht="15" hidden="1" customHeight="1">
      <c r="A482" s="30" t="s">
        <v>562</v>
      </c>
      <c r="B482" s="30" t="s">
        <v>390</v>
      </c>
      <c r="C482" s="73">
        <v>45352</v>
      </c>
      <c r="D482" s="30">
        <v>558</v>
      </c>
      <c r="E482" s="30" t="s">
        <v>346</v>
      </c>
      <c r="F482" s="30" t="s">
        <v>377</v>
      </c>
      <c r="G482" s="30" t="s">
        <v>581</v>
      </c>
      <c r="H482" s="30">
        <v>951136</v>
      </c>
      <c r="I482" s="30"/>
      <c r="J482" s="30" t="s">
        <v>182</v>
      </c>
      <c r="K482" s="214"/>
      <c r="L482" s="143">
        <v>39.482999999999997</v>
      </c>
      <c r="M482" s="214"/>
      <c r="N482" s="220"/>
    </row>
    <row r="483" spans="1:14" ht="15" hidden="1" customHeight="1">
      <c r="A483" s="30" t="s">
        <v>562</v>
      </c>
      <c r="B483" s="30" t="s">
        <v>390</v>
      </c>
      <c r="C483" s="73">
        <v>45352</v>
      </c>
      <c r="D483" s="30">
        <v>558</v>
      </c>
      <c r="E483" s="30" t="s">
        <v>346</v>
      </c>
      <c r="F483" s="30" t="s">
        <v>377</v>
      </c>
      <c r="G483" s="30" t="s">
        <v>582</v>
      </c>
      <c r="H483" s="30">
        <v>699999</v>
      </c>
      <c r="I483" s="30"/>
      <c r="J483" s="30" t="s">
        <v>182</v>
      </c>
      <c r="K483" s="214"/>
      <c r="L483" s="143">
        <v>174.79599999999999</v>
      </c>
      <c r="M483" s="214"/>
      <c r="N483" s="220"/>
    </row>
    <row r="484" spans="1:14" ht="15" hidden="1" customHeight="1">
      <c r="A484" s="30" t="s">
        <v>562</v>
      </c>
      <c r="B484" s="30" t="s">
        <v>390</v>
      </c>
      <c r="C484" s="73">
        <v>45352</v>
      </c>
      <c r="D484" s="30">
        <v>558</v>
      </c>
      <c r="E484" s="30" t="s">
        <v>346</v>
      </c>
      <c r="F484" s="30" t="s">
        <v>377</v>
      </c>
      <c r="G484" s="30" t="s">
        <v>583</v>
      </c>
      <c r="H484" s="30">
        <v>701699</v>
      </c>
      <c r="I484" s="30"/>
      <c r="J484" s="30" t="s">
        <v>182</v>
      </c>
      <c r="K484" s="215"/>
      <c r="L484" s="143"/>
      <c r="M484" s="215"/>
      <c r="N484" s="221"/>
    </row>
    <row r="485" spans="1:14" ht="15" hidden="1" customHeight="1">
      <c r="A485" s="30" t="s">
        <v>585</v>
      </c>
      <c r="B485" s="30" t="s">
        <v>345</v>
      </c>
      <c r="C485" s="73">
        <v>45352</v>
      </c>
      <c r="D485" s="30">
        <v>561</v>
      </c>
      <c r="E485" s="30" t="s">
        <v>346</v>
      </c>
      <c r="F485" s="30" t="s">
        <v>377</v>
      </c>
      <c r="G485" s="30" t="s">
        <v>560</v>
      </c>
      <c r="H485" s="30">
        <v>700161</v>
      </c>
      <c r="I485" s="30"/>
      <c r="J485" s="30" t="s">
        <v>181</v>
      </c>
      <c r="K485" s="64">
        <v>25</v>
      </c>
      <c r="L485" s="143">
        <v>92.802000000000007</v>
      </c>
      <c r="M485" s="64">
        <f t="shared" ref="M485:M504" si="29">K485-L485</f>
        <v>-67.802000000000007</v>
      </c>
      <c r="N485" s="54">
        <f t="shared" ref="N485:N504" si="30">L485/K485</f>
        <v>3.7120800000000003</v>
      </c>
    </row>
    <row r="486" spans="1:14" ht="15" hidden="1" customHeight="1">
      <c r="A486" s="30" t="s">
        <v>585</v>
      </c>
      <c r="B486" s="30" t="s">
        <v>345</v>
      </c>
      <c r="C486" s="73">
        <v>45352</v>
      </c>
      <c r="D486" s="30">
        <v>561</v>
      </c>
      <c r="E486" s="30" t="s">
        <v>346</v>
      </c>
      <c r="F486" s="30" t="s">
        <v>377</v>
      </c>
      <c r="G486" s="30" t="s">
        <v>560</v>
      </c>
      <c r="H486" s="30">
        <v>700161</v>
      </c>
      <c r="I486" s="30"/>
      <c r="J486" s="30" t="s">
        <v>182</v>
      </c>
      <c r="K486" s="64">
        <v>200</v>
      </c>
      <c r="L486" s="143">
        <v>132.19800000000001</v>
      </c>
      <c r="M486" s="64">
        <f t="shared" si="29"/>
        <v>67.801999999999992</v>
      </c>
      <c r="N486" s="54">
        <f t="shared" si="30"/>
        <v>0.66099000000000008</v>
      </c>
    </row>
    <row r="487" spans="1:14" ht="15" hidden="1" customHeight="1">
      <c r="A487" s="30" t="s">
        <v>585</v>
      </c>
      <c r="B487" s="30" t="s">
        <v>345</v>
      </c>
      <c r="C487" s="73">
        <v>45352</v>
      </c>
      <c r="D487" s="30">
        <v>561</v>
      </c>
      <c r="E487" s="30" t="s">
        <v>346</v>
      </c>
      <c r="F487" s="30" t="s">
        <v>377</v>
      </c>
      <c r="G487" s="30" t="s">
        <v>561</v>
      </c>
      <c r="H487" s="30">
        <v>701637</v>
      </c>
      <c r="I487" s="30"/>
      <c r="J487" s="30" t="s">
        <v>181</v>
      </c>
      <c r="K487" s="64">
        <v>50</v>
      </c>
      <c r="L487" s="143">
        <v>73.457999999999998</v>
      </c>
      <c r="M487" s="64">
        <f t="shared" si="29"/>
        <v>-23.457999999999998</v>
      </c>
      <c r="N487" s="54">
        <f t="shared" si="30"/>
        <v>1.46916</v>
      </c>
    </row>
    <row r="488" spans="1:14" ht="15" hidden="1" customHeight="1">
      <c r="A488" s="30" t="s">
        <v>585</v>
      </c>
      <c r="B488" s="30" t="s">
        <v>345</v>
      </c>
      <c r="C488" s="73">
        <v>45352</v>
      </c>
      <c r="D488" s="30">
        <v>561</v>
      </c>
      <c r="E488" s="30" t="s">
        <v>346</v>
      </c>
      <c r="F488" s="30" t="s">
        <v>377</v>
      </c>
      <c r="G488" s="30" t="s">
        <v>561</v>
      </c>
      <c r="H488" s="30">
        <v>701637</v>
      </c>
      <c r="I488" s="30"/>
      <c r="J488" s="30" t="s">
        <v>182</v>
      </c>
      <c r="K488" s="64">
        <v>150</v>
      </c>
      <c r="L488" s="143">
        <v>126.542</v>
      </c>
      <c r="M488" s="64">
        <f t="shared" si="29"/>
        <v>23.457999999999998</v>
      </c>
      <c r="N488" s="54">
        <f t="shared" si="30"/>
        <v>0.84361333333333333</v>
      </c>
    </row>
    <row r="489" spans="1:14" ht="15" hidden="1" customHeight="1">
      <c r="A489" s="30" t="s">
        <v>585</v>
      </c>
      <c r="B489" s="30" t="s">
        <v>345</v>
      </c>
      <c r="C489" s="73">
        <v>45352</v>
      </c>
      <c r="D489" s="30">
        <v>561</v>
      </c>
      <c r="E489" s="30" t="s">
        <v>346</v>
      </c>
      <c r="F489" s="30" t="s">
        <v>377</v>
      </c>
      <c r="G489" s="30" t="s">
        <v>587</v>
      </c>
      <c r="H489" s="30">
        <v>699774</v>
      </c>
      <c r="I489" s="30"/>
      <c r="J489" s="30" t="s">
        <v>181</v>
      </c>
      <c r="K489" s="64">
        <v>25</v>
      </c>
      <c r="L489" s="143">
        <v>38.72</v>
      </c>
      <c r="M489" s="64">
        <f t="shared" si="29"/>
        <v>-13.719999999999999</v>
      </c>
      <c r="N489" s="54">
        <f t="shared" si="30"/>
        <v>1.5488</v>
      </c>
    </row>
    <row r="490" spans="1:14" ht="15" hidden="1" customHeight="1">
      <c r="A490" s="30" t="s">
        <v>585</v>
      </c>
      <c r="B490" s="30" t="s">
        <v>345</v>
      </c>
      <c r="C490" s="73">
        <v>45352</v>
      </c>
      <c r="D490" s="30">
        <v>561</v>
      </c>
      <c r="E490" s="30" t="s">
        <v>346</v>
      </c>
      <c r="F490" s="30" t="s">
        <v>377</v>
      </c>
      <c r="G490" s="30" t="s">
        <v>587</v>
      </c>
      <c r="H490" s="30">
        <v>699774</v>
      </c>
      <c r="I490" s="30"/>
      <c r="J490" s="30" t="s">
        <v>182</v>
      </c>
      <c r="K490" s="64">
        <v>200</v>
      </c>
      <c r="L490" s="143">
        <v>186.28</v>
      </c>
      <c r="M490" s="64">
        <f t="shared" si="29"/>
        <v>13.719999999999999</v>
      </c>
      <c r="N490" s="54">
        <f t="shared" si="30"/>
        <v>0.93140000000000001</v>
      </c>
    </row>
    <row r="491" spans="1:14" ht="15" hidden="1" customHeight="1">
      <c r="A491" s="30" t="s">
        <v>586</v>
      </c>
      <c r="B491" s="30" t="s">
        <v>345</v>
      </c>
      <c r="C491" s="73">
        <v>45363</v>
      </c>
      <c r="D491" s="30">
        <v>696</v>
      </c>
      <c r="E491" s="30" t="s">
        <v>408</v>
      </c>
      <c r="F491" s="30" t="s">
        <v>377</v>
      </c>
      <c r="G491" s="30" t="s">
        <v>457</v>
      </c>
      <c r="H491" s="30">
        <v>700493</v>
      </c>
      <c r="I491" s="30"/>
      <c r="J491" s="30" t="s">
        <v>181</v>
      </c>
      <c r="K491" s="64">
        <v>5</v>
      </c>
      <c r="L491" s="143">
        <v>14.516999999999999</v>
      </c>
      <c r="M491" s="64">
        <f t="shared" si="29"/>
        <v>-9.5169999999999995</v>
      </c>
      <c r="N491" s="54">
        <f t="shared" si="30"/>
        <v>2.9034</v>
      </c>
    </row>
    <row r="492" spans="1:14" ht="15" hidden="1" customHeight="1">
      <c r="A492" s="30" t="s">
        <v>586</v>
      </c>
      <c r="B492" s="30" t="s">
        <v>345</v>
      </c>
      <c r="C492" s="73">
        <v>45363</v>
      </c>
      <c r="D492" s="30">
        <v>696</v>
      </c>
      <c r="E492" s="30" t="s">
        <v>408</v>
      </c>
      <c r="F492" s="30" t="s">
        <v>377</v>
      </c>
      <c r="G492" s="30" t="s">
        <v>457</v>
      </c>
      <c r="H492" s="30">
        <v>700493</v>
      </c>
      <c r="I492" s="30"/>
      <c r="J492" s="30" t="s">
        <v>182</v>
      </c>
      <c r="K492" s="64">
        <v>95</v>
      </c>
      <c r="L492" s="143">
        <v>85.483000000000004</v>
      </c>
      <c r="M492" s="64">
        <f t="shared" si="29"/>
        <v>9.5169999999999959</v>
      </c>
      <c r="N492" s="54">
        <f t="shared" si="30"/>
        <v>0.89982105263157897</v>
      </c>
    </row>
    <row r="493" spans="1:14" ht="15" hidden="1" customHeight="1">
      <c r="A493" s="30" t="s">
        <v>487</v>
      </c>
      <c r="B493" s="30" t="s">
        <v>345</v>
      </c>
      <c r="C493" s="73">
        <v>45370</v>
      </c>
      <c r="D493" s="30">
        <v>756</v>
      </c>
      <c r="E493" s="30" t="s">
        <v>408</v>
      </c>
      <c r="F493" s="30" t="s">
        <v>377</v>
      </c>
      <c r="G493" s="30" t="s">
        <v>589</v>
      </c>
      <c r="H493" s="30">
        <v>951259</v>
      </c>
      <c r="I493" s="30"/>
      <c r="J493" s="30" t="s">
        <v>181</v>
      </c>
      <c r="K493" s="64">
        <v>20</v>
      </c>
      <c r="L493" s="143"/>
      <c r="M493" s="64">
        <f t="shared" si="29"/>
        <v>20</v>
      </c>
      <c r="N493" s="54">
        <f t="shared" si="30"/>
        <v>0</v>
      </c>
    </row>
    <row r="494" spans="1:14" ht="15" hidden="1" customHeight="1">
      <c r="A494" s="30" t="s">
        <v>487</v>
      </c>
      <c r="B494" s="30" t="s">
        <v>345</v>
      </c>
      <c r="C494" s="73">
        <v>45370</v>
      </c>
      <c r="D494" s="30">
        <v>756</v>
      </c>
      <c r="E494" s="30" t="s">
        <v>408</v>
      </c>
      <c r="F494" s="30" t="s">
        <v>377</v>
      </c>
      <c r="G494" s="30" t="s">
        <v>589</v>
      </c>
      <c r="H494" s="30">
        <v>951259</v>
      </c>
      <c r="I494" s="30"/>
      <c r="J494" s="30" t="s">
        <v>182</v>
      </c>
      <c r="K494" s="64">
        <v>30</v>
      </c>
      <c r="L494" s="143"/>
      <c r="M494" s="64">
        <f t="shared" si="29"/>
        <v>30</v>
      </c>
      <c r="N494" s="54">
        <f t="shared" si="30"/>
        <v>0</v>
      </c>
    </row>
    <row r="495" spans="1:14" ht="15" hidden="1" customHeight="1">
      <c r="A495" s="30" t="s">
        <v>590</v>
      </c>
      <c r="B495" s="30" t="s">
        <v>345</v>
      </c>
      <c r="C495" s="73">
        <v>45372</v>
      </c>
      <c r="D495" s="30">
        <v>764</v>
      </c>
      <c r="E495" s="30" t="s">
        <v>408</v>
      </c>
      <c r="F495" s="30" t="s">
        <v>377</v>
      </c>
      <c r="G495" s="30" t="s">
        <v>457</v>
      </c>
      <c r="H495" s="30">
        <v>700493</v>
      </c>
      <c r="I495" s="30"/>
      <c r="J495" s="30" t="s">
        <v>181</v>
      </c>
      <c r="K495" s="64">
        <v>20</v>
      </c>
      <c r="L495" s="143">
        <v>24.861999999999998</v>
      </c>
      <c r="M495" s="64">
        <f t="shared" si="29"/>
        <v>-4.8619999999999983</v>
      </c>
      <c r="N495" s="54">
        <f t="shared" si="30"/>
        <v>1.2430999999999999</v>
      </c>
    </row>
    <row r="496" spans="1:14" ht="15" hidden="1" customHeight="1">
      <c r="A496" s="30" t="s">
        <v>590</v>
      </c>
      <c r="B496" s="30" t="s">
        <v>345</v>
      </c>
      <c r="C496" s="73">
        <v>45372</v>
      </c>
      <c r="D496" s="30">
        <v>764</v>
      </c>
      <c r="E496" s="30" t="s">
        <v>408</v>
      </c>
      <c r="F496" s="30" t="s">
        <v>377</v>
      </c>
      <c r="G496" s="30" t="s">
        <v>457</v>
      </c>
      <c r="H496" s="30">
        <v>700493</v>
      </c>
      <c r="I496" s="30"/>
      <c r="J496" s="30" t="s">
        <v>182</v>
      </c>
      <c r="K496" s="64">
        <v>80</v>
      </c>
      <c r="L496" s="143">
        <v>30.248000000000001</v>
      </c>
      <c r="M496" s="64">
        <f t="shared" si="29"/>
        <v>49.751999999999995</v>
      </c>
      <c r="N496" s="54">
        <f t="shared" si="30"/>
        <v>0.37809999999999999</v>
      </c>
    </row>
    <row r="497" spans="1:14" ht="15" hidden="1" customHeight="1">
      <c r="A497" s="30" t="s">
        <v>591</v>
      </c>
      <c r="B497" s="30" t="s">
        <v>345</v>
      </c>
      <c r="C497" s="73">
        <v>45373</v>
      </c>
      <c r="D497" s="30">
        <v>766</v>
      </c>
      <c r="E497" s="30" t="s">
        <v>408</v>
      </c>
      <c r="F497" s="30" t="s">
        <v>377</v>
      </c>
      <c r="G497" s="30" t="s">
        <v>436</v>
      </c>
      <c r="H497" s="30">
        <v>923199</v>
      </c>
      <c r="I497" s="30"/>
      <c r="J497" s="30" t="s">
        <v>181</v>
      </c>
      <c r="K497" s="64">
        <v>20</v>
      </c>
      <c r="L497" s="143">
        <v>424.19200000000001</v>
      </c>
      <c r="M497" s="64">
        <f t="shared" si="29"/>
        <v>-404.19200000000001</v>
      </c>
      <c r="N497" s="54">
        <f t="shared" si="30"/>
        <v>21.209600000000002</v>
      </c>
    </row>
    <row r="498" spans="1:14" ht="15" hidden="1" customHeight="1">
      <c r="A498" s="30" t="s">
        <v>591</v>
      </c>
      <c r="B498" s="30" t="s">
        <v>345</v>
      </c>
      <c r="C498" s="73">
        <v>45373</v>
      </c>
      <c r="D498" s="30">
        <v>766</v>
      </c>
      <c r="E498" s="30" t="s">
        <v>408</v>
      </c>
      <c r="F498" s="30" t="s">
        <v>377</v>
      </c>
      <c r="G498" s="30" t="s">
        <v>436</v>
      </c>
      <c r="H498" s="30">
        <v>923199</v>
      </c>
      <c r="I498" s="30"/>
      <c r="J498" s="30" t="s">
        <v>182</v>
      </c>
      <c r="K498" s="64">
        <v>480</v>
      </c>
      <c r="L498" s="143">
        <v>75.808000000000007</v>
      </c>
      <c r="M498" s="64">
        <f t="shared" si="29"/>
        <v>404.19200000000001</v>
      </c>
      <c r="N498" s="54">
        <f t="shared" si="30"/>
        <v>0.15793333333333334</v>
      </c>
    </row>
    <row r="499" spans="1:14" ht="15" hidden="1" customHeight="1">
      <c r="A499" s="30" t="s">
        <v>592</v>
      </c>
      <c r="B499" s="30" t="s">
        <v>345</v>
      </c>
      <c r="C499" s="73">
        <v>45376</v>
      </c>
      <c r="D499" s="30">
        <v>772</v>
      </c>
      <c r="E499" s="30" t="s">
        <v>408</v>
      </c>
      <c r="F499" s="30" t="s">
        <v>377</v>
      </c>
      <c r="G499" s="30" t="s">
        <v>457</v>
      </c>
      <c r="H499" s="30">
        <v>700493</v>
      </c>
      <c r="I499" s="30"/>
      <c r="J499" s="30" t="s">
        <v>181</v>
      </c>
      <c r="K499" s="64">
        <v>50</v>
      </c>
      <c r="L499" s="143">
        <v>54.48</v>
      </c>
      <c r="M499" s="64">
        <f t="shared" si="29"/>
        <v>-4.4799999999999969</v>
      </c>
      <c r="N499" s="54">
        <f t="shared" si="30"/>
        <v>1.0895999999999999</v>
      </c>
    </row>
    <row r="500" spans="1:14" ht="15" hidden="1" customHeight="1">
      <c r="A500" s="30" t="s">
        <v>592</v>
      </c>
      <c r="B500" s="30" t="s">
        <v>345</v>
      </c>
      <c r="C500" s="73">
        <v>45376</v>
      </c>
      <c r="D500" s="30">
        <v>772</v>
      </c>
      <c r="E500" s="30" t="s">
        <v>408</v>
      </c>
      <c r="F500" s="30" t="s">
        <v>377</v>
      </c>
      <c r="G500" s="30" t="s">
        <v>457</v>
      </c>
      <c r="H500" s="30">
        <v>700493</v>
      </c>
      <c r="I500" s="30"/>
      <c r="J500" s="30" t="s">
        <v>182</v>
      </c>
      <c r="K500" s="64">
        <v>150</v>
      </c>
      <c r="L500" s="143">
        <v>1.429</v>
      </c>
      <c r="M500" s="64">
        <f t="shared" si="29"/>
        <v>148.571</v>
      </c>
      <c r="N500" s="54">
        <f t="shared" si="30"/>
        <v>9.5266666666666677E-3</v>
      </c>
    </row>
    <row r="501" spans="1:14" ht="15" hidden="1" customHeight="1">
      <c r="A501" s="30" t="s">
        <v>382</v>
      </c>
      <c r="B501" s="30" t="s">
        <v>345</v>
      </c>
      <c r="C501" s="73">
        <v>45377</v>
      </c>
      <c r="D501" s="30">
        <v>790</v>
      </c>
      <c r="E501" s="30" t="s">
        <v>346</v>
      </c>
      <c r="F501" s="30" t="s">
        <v>377</v>
      </c>
      <c r="G501" s="30" t="s">
        <v>384</v>
      </c>
      <c r="H501" s="30">
        <v>700014</v>
      </c>
      <c r="I501" s="30"/>
      <c r="J501" s="30" t="s">
        <v>181</v>
      </c>
      <c r="K501" s="64">
        <v>30</v>
      </c>
      <c r="L501" s="143"/>
      <c r="M501" s="64">
        <f t="shared" si="29"/>
        <v>30</v>
      </c>
      <c r="N501" s="54">
        <f t="shared" si="30"/>
        <v>0</v>
      </c>
    </row>
    <row r="502" spans="1:14" ht="15" hidden="1" customHeight="1">
      <c r="A502" s="30" t="s">
        <v>382</v>
      </c>
      <c r="B502" s="30" t="s">
        <v>345</v>
      </c>
      <c r="C502" s="73">
        <v>45377</v>
      </c>
      <c r="D502" s="30">
        <v>790</v>
      </c>
      <c r="E502" s="30" t="s">
        <v>346</v>
      </c>
      <c r="F502" s="30" t="s">
        <v>377</v>
      </c>
      <c r="G502" s="30" t="s">
        <v>384</v>
      </c>
      <c r="H502" s="30">
        <v>700014</v>
      </c>
      <c r="I502" s="30"/>
      <c r="J502" s="30" t="s">
        <v>182</v>
      </c>
      <c r="K502" s="64">
        <v>70</v>
      </c>
      <c r="L502" s="143"/>
      <c r="M502" s="64">
        <f t="shared" si="29"/>
        <v>70</v>
      </c>
      <c r="N502" s="54">
        <f t="shared" si="30"/>
        <v>0</v>
      </c>
    </row>
    <row r="503" spans="1:14" ht="15" hidden="1" customHeight="1">
      <c r="A503" s="30" t="s">
        <v>591</v>
      </c>
      <c r="B503" s="30" t="s">
        <v>345</v>
      </c>
      <c r="C503" s="73">
        <v>45344</v>
      </c>
      <c r="D503" s="30">
        <v>477</v>
      </c>
      <c r="E503" s="30" t="s">
        <v>408</v>
      </c>
      <c r="F503" s="30" t="s">
        <v>377</v>
      </c>
      <c r="G503" s="30" t="s">
        <v>469</v>
      </c>
      <c r="H503" s="30">
        <v>962295</v>
      </c>
      <c r="I503" s="30"/>
      <c r="J503" s="30" t="s">
        <v>181</v>
      </c>
      <c r="K503" s="64">
        <v>20</v>
      </c>
      <c r="L503" s="143">
        <v>39.246000000000002</v>
      </c>
      <c r="M503" s="64">
        <f t="shared" si="29"/>
        <v>-19.246000000000002</v>
      </c>
      <c r="N503" s="54">
        <f t="shared" si="30"/>
        <v>1.9623000000000002</v>
      </c>
    </row>
    <row r="504" spans="1:14" ht="15" hidden="1" customHeight="1">
      <c r="A504" s="30" t="s">
        <v>591</v>
      </c>
      <c r="B504" s="30" t="s">
        <v>345</v>
      </c>
      <c r="C504" s="73">
        <v>45344</v>
      </c>
      <c r="D504" s="30">
        <v>477</v>
      </c>
      <c r="E504" s="30" t="s">
        <v>408</v>
      </c>
      <c r="F504" s="30" t="s">
        <v>377</v>
      </c>
      <c r="G504" s="30" t="s">
        <v>469</v>
      </c>
      <c r="H504" s="30">
        <v>962295</v>
      </c>
      <c r="I504" s="30"/>
      <c r="J504" s="30" t="s">
        <v>182</v>
      </c>
      <c r="K504" s="64">
        <v>80</v>
      </c>
      <c r="L504" s="143">
        <v>60.753999999999998</v>
      </c>
      <c r="M504" s="64">
        <f t="shared" si="29"/>
        <v>19.246000000000002</v>
      </c>
      <c r="N504" s="54">
        <f t="shared" si="30"/>
        <v>0.75942500000000002</v>
      </c>
    </row>
    <row r="505" spans="1:14" hidden="1">
      <c r="A505" s="30" t="s">
        <v>552</v>
      </c>
      <c r="B505" s="30" t="s">
        <v>390</v>
      </c>
      <c r="C505" s="73">
        <v>45387</v>
      </c>
      <c r="D505" s="30">
        <v>877</v>
      </c>
      <c r="E505" s="30" t="s">
        <v>408</v>
      </c>
      <c r="F505" s="30" t="s">
        <v>377</v>
      </c>
      <c r="G505" s="30" t="s">
        <v>582</v>
      </c>
      <c r="H505" s="30">
        <v>699999</v>
      </c>
      <c r="I505" s="30"/>
      <c r="J505" s="30" t="s">
        <v>181</v>
      </c>
      <c r="K505" s="213">
        <v>250</v>
      </c>
      <c r="L505" s="143">
        <v>50.838999999999999</v>
      </c>
      <c r="M505" s="216">
        <f>K505-(L505+L506)</f>
        <v>-63.331000000000017</v>
      </c>
      <c r="N505" s="217">
        <f>(L505+L506)/K505</f>
        <v>1.2533240000000001</v>
      </c>
    </row>
    <row r="506" spans="1:14" hidden="1">
      <c r="A506" s="30" t="s">
        <v>552</v>
      </c>
      <c r="B506" s="30" t="s">
        <v>390</v>
      </c>
      <c r="C506" s="73">
        <v>45387</v>
      </c>
      <c r="D506" s="30">
        <v>877</v>
      </c>
      <c r="E506" s="30" t="s">
        <v>408</v>
      </c>
      <c r="F506" s="30" t="s">
        <v>377</v>
      </c>
      <c r="G506" s="30" t="s">
        <v>581</v>
      </c>
      <c r="H506" s="30">
        <v>951136</v>
      </c>
      <c r="I506" s="30"/>
      <c r="J506" s="30" t="s">
        <v>181</v>
      </c>
      <c r="K506" s="215"/>
      <c r="L506" s="143">
        <v>262.49200000000002</v>
      </c>
      <c r="M506" s="216"/>
      <c r="N506" s="217"/>
    </row>
    <row r="507" spans="1:14" hidden="1">
      <c r="A507" s="30" t="s">
        <v>552</v>
      </c>
      <c r="B507" s="30" t="s">
        <v>390</v>
      </c>
      <c r="C507" s="73">
        <v>45387</v>
      </c>
      <c r="D507" s="30">
        <v>877</v>
      </c>
      <c r="E507" s="30" t="s">
        <v>408</v>
      </c>
      <c r="F507" s="30" t="s">
        <v>377</v>
      </c>
      <c r="G507" s="30" t="s">
        <v>582</v>
      </c>
      <c r="H507" s="30">
        <v>699999</v>
      </c>
      <c r="I507" s="30"/>
      <c r="J507" s="30" t="s">
        <v>182</v>
      </c>
      <c r="K507" s="213">
        <v>250</v>
      </c>
      <c r="L507" s="143">
        <v>19.472000000000001</v>
      </c>
      <c r="M507" s="216">
        <f>K507-(L507+L508)</f>
        <v>206.928</v>
      </c>
      <c r="N507" s="217">
        <f>(L507+L508)/K507</f>
        <v>0.17228800000000002</v>
      </c>
    </row>
    <row r="508" spans="1:14" hidden="1">
      <c r="A508" s="30" t="s">
        <v>552</v>
      </c>
      <c r="B508" s="30" t="s">
        <v>390</v>
      </c>
      <c r="C508" s="73">
        <v>45387</v>
      </c>
      <c r="D508" s="30">
        <v>877</v>
      </c>
      <c r="E508" s="30" t="s">
        <v>408</v>
      </c>
      <c r="F508" s="30" t="s">
        <v>377</v>
      </c>
      <c r="G508" s="30" t="s">
        <v>581</v>
      </c>
      <c r="H508" s="30">
        <v>951136</v>
      </c>
      <c r="I508" s="30"/>
      <c r="J508" s="30" t="s">
        <v>182</v>
      </c>
      <c r="K508" s="215"/>
      <c r="L508" s="143">
        <v>23.6</v>
      </c>
      <c r="M508" s="216"/>
      <c r="N508" s="217"/>
    </row>
    <row r="509" spans="1:14" hidden="1">
      <c r="A509" s="30" t="s">
        <v>604</v>
      </c>
      <c r="B509" s="30" t="s">
        <v>345</v>
      </c>
      <c r="C509" s="73">
        <v>45352</v>
      </c>
      <c r="D509" s="30">
        <v>552</v>
      </c>
      <c r="E509" s="30" t="s">
        <v>346</v>
      </c>
      <c r="F509" s="30" t="s">
        <v>377</v>
      </c>
      <c r="G509" s="30" t="s">
        <v>439</v>
      </c>
      <c r="H509" s="30">
        <v>700197</v>
      </c>
      <c r="I509" s="30"/>
      <c r="J509" s="30" t="s">
        <v>181</v>
      </c>
      <c r="K509" s="64">
        <v>254</v>
      </c>
      <c r="L509" s="143">
        <v>43.622999999999998</v>
      </c>
      <c r="M509" s="64">
        <f t="shared" ref="M509:M520" si="31">K509-L509</f>
        <v>210.37700000000001</v>
      </c>
      <c r="N509" s="54">
        <f t="shared" ref="N509:N520" si="32">L509/K509</f>
        <v>0.17174409448818898</v>
      </c>
    </row>
    <row r="510" spans="1:14" hidden="1">
      <c r="A510" s="30" t="s">
        <v>604</v>
      </c>
      <c r="B510" s="30" t="s">
        <v>345</v>
      </c>
      <c r="C510" s="73">
        <v>45352</v>
      </c>
      <c r="D510" s="30">
        <v>552</v>
      </c>
      <c r="E510" s="30" t="s">
        <v>346</v>
      </c>
      <c r="F510" s="30" t="s">
        <v>377</v>
      </c>
      <c r="G510" s="30" t="s">
        <v>439</v>
      </c>
      <c r="H510" s="30">
        <v>700197</v>
      </c>
      <c r="I510" s="30"/>
      <c r="J510" s="30" t="s">
        <v>182</v>
      </c>
      <c r="K510" s="64">
        <v>420</v>
      </c>
      <c r="L510" s="143">
        <v>35.942999999999998</v>
      </c>
      <c r="M510" s="64">
        <f t="shared" si="31"/>
        <v>384.05700000000002</v>
      </c>
      <c r="N510" s="54">
        <f t="shared" si="32"/>
        <v>8.5578571428571421E-2</v>
      </c>
    </row>
    <row r="511" spans="1:14" hidden="1">
      <c r="A511" s="30" t="s">
        <v>605</v>
      </c>
      <c r="B511" s="30" t="s">
        <v>345</v>
      </c>
      <c r="C511" s="73">
        <v>45399</v>
      </c>
      <c r="D511" s="30">
        <v>958</v>
      </c>
      <c r="E511" s="30" t="s">
        <v>346</v>
      </c>
      <c r="F511" s="30" t="s">
        <v>344</v>
      </c>
      <c r="G511" s="30" t="s">
        <v>606</v>
      </c>
      <c r="H511" s="30">
        <v>959987</v>
      </c>
      <c r="I511" s="30"/>
      <c r="J511" s="30" t="s">
        <v>181</v>
      </c>
      <c r="K511" s="64">
        <v>464.952</v>
      </c>
      <c r="L511" s="143">
        <v>201.87</v>
      </c>
      <c r="M511" s="64">
        <f t="shared" si="31"/>
        <v>263.08199999999999</v>
      </c>
      <c r="N511" s="54">
        <f t="shared" si="32"/>
        <v>0.43417385020389204</v>
      </c>
    </row>
    <row r="512" spans="1:14" hidden="1">
      <c r="A512" s="30" t="s">
        <v>596</v>
      </c>
      <c r="B512" s="30" t="s">
        <v>345</v>
      </c>
      <c r="C512" s="73">
        <v>45401</v>
      </c>
      <c r="D512" s="30">
        <v>992</v>
      </c>
      <c r="E512" s="30" t="s">
        <v>346</v>
      </c>
      <c r="F512" s="30" t="s">
        <v>377</v>
      </c>
      <c r="G512" s="30" t="s">
        <v>617</v>
      </c>
      <c r="H512" s="30">
        <v>955511</v>
      </c>
      <c r="I512" s="30"/>
      <c r="J512" s="30" t="s">
        <v>181</v>
      </c>
      <c r="K512" s="64">
        <v>100</v>
      </c>
      <c r="L512" s="143">
        <v>3.4670000000000001</v>
      </c>
      <c r="M512" s="64">
        <f t="shared" si="31"/>
        <v>96.533000000000001</v>
      </c>
      <c r="N512" s="54">
        <f t="shared" si="32"/>
        <v>3.4669999999999999E-2</v>
      </c>
    </row>
    <row r="513" spans="1:14" hidden="1">
      <c r="A513" s="30" t="s">
        <v>596</v>
      </c>
      <c r="B513" s="30" t="s">
        <v>345</v>
      </c>
      <c r="C513" s="73">
        <v>45401</v>
      </c>
      <c r="D513" s="30">
        <v>992</v>
      </c>
      <c r="E513" s="30" t="s">
        <v>346</v>
      </c>
      <c r="F513" s="30" t="s">
        <v>377</v>
      </c>
      <c r="G513" s="30" t="s">
        <v>617</v>
      </c>
      <c r="H513" s="30">
        <v>955511</v>
      </c>
      <c r="I513" s="30"/>
      <c r="J513" s="30" t="s">
        <v>182</v>
      </c>
      <c r="K513" s="64">
        <v>200</v>
      </c>
      <c r="L513" s="143">
        <v>0.878</v>
      </c>
      <c r="M513" s="64">
        <f t="shared" si="31"/>
        <v>199.12200000000001</v>
      </c>
      <c r="N513" s="54">
        <f t="shared" si="32"/>
        <v>4.3899999999999998E-3</v>
      </c>
    </row>
    <row r="514" spans="1:14" hidden="1">
      <c r="A514" s="30" t="s">
        <v>391</v>
      </c>
      <c r="B514" s="30" t="s">
        <v>345</v>
      </c>
      <c r="C514" s="73">
        <v>45400</v>
      </c>
      <c r="D514" s="30">
        <v>970</v>
      </c>
      <c r="E514" s="30" t="s">
        <v>346</v>
      </c>
      <c r="F514" s="30" t="s">
        <v>344</v>
      </c>
      <c r="G514" s="30" t="s">
        <v>619</v>
      </c>
      <c r="H514" s="30">
        <v>955516</v>
      </c>
      <c r="I514" s="30"/>
      <c r="J514" s="30" t="s">
        <v>181</v>
      </c>
      <c r="K514" s="64">
        <v>218</v>
      </c>
      <c r="L514" s="143"/>
      <c r="M514" s="64">
        <f t="shared" si="31"/>
        <v>218</v>
      </c>
      <c r="N514" s="54">
        <f t="shared" si="32"/>
        <v>0</v>
      </c>
    </row>
    <row r="515" spans="1:14" hidden="1">
      <c r="A515" s="30" t="s">
        <v>391</v>
      </c>
      <c r="B515" s="30" t="s">
        <v>345</v>
      </c>
      <c r="C515" s="73">
        <v>45400</v>
      </c>
      <c r="D515" s="154">
        <v>970</v>
      </c>
      <c r="E515" s="30" t="s">
        <v>346</v>
      </c>
      <c r="F515" s="30" t="s">
        <v>344</v>
      </c>
      <c r="G515" s="30" t="s">
        <v>619</v>
      </c>
      <c r="H515" s="30">
        <v>955516</v>
      </c>
      <c r="I515" s="30"/>
      <c r="J515" s="30" t="s">
        <v>182</v>
      </c>
      <c r="K515" s="64">
        <v>59</v>
      </c>
      <c r="L515" s="143"/>
      <c r="M515" s="64">
        <f t="shared" si="31"/>
        <v>59</v>
      </c>
      <c r="N515" s="54">
        <f t="shared" si="32"/>
        <v>0</v>
      </c>
    </row>
    <row r="516" spans="1:14" hidden="1">
      <c r="A516" s="30" t="s">
        <v>391</v>
      </c>
      <c r="B516" s="30" t="s">
        <v>345</v>
      </c>
      <c r="C516" s="73">
        <v>45400</v>
      </c>
      <c r="D516" s="154">
        <v>970</v>
      </c>
      <c r="E516" s="30" t="s">
        <v>346</v>
      </c>
      <c r="F516" s="30" t="s">
        <v>344</v>
      </c>
      <c r="G516" s="30" t="s">
        <v>536</v>
      </c>
      <c r="H516" s="30">
        <v>968281</v>
      </c>
      <c r="I516" s="30"/>
      <c r="J516" s="30" t="s">
        <v>181</v>
      </c>
      <c r="K516" s="64">
        <v>50</v>
      </c>
      <c r="L516" s="143"/>
      <c r="M516" s="64">
        <f t="shared" si="31"/>
        <v>50</v>
      </c>
      <c r="N516" s="54">
        <f t="shared" si="32"/>
        <v>0</v>
      </c>
    </row>
    <row r="517" spans="1:14" hidden="1">
      <c r="A517" s="30" t="s">
        <v>391</v>
      </c>
      <c r="B517" s="30" t="s">
        <v>345</v>
      </c>
      <c r="C517" s="73">
        <v>45400</v>
      </c>
      <c r="D517" s="154">
        <v>970</v>
      </c>
      <c r="E517" s="30" t="s">
        <v>346</v>
      </c>
      <c r="F517" s="30" t="s">
        <v>344</v>
      </c>
      <c r="G517" s="30" t="s">
        <v>536</v>
      </c>
      <c r="H517" s="30">
        <v>968281</v>
      </c>
      <c r="I517" s="30"/>
      <c r="J517" s="30" t="s">
        <v>182</v>
      </c>
      <c r="K517" s="64">
        <v>25</v>
      </c>
      <c r="L517" s="143"/>
      <c r="M517" s="64">
        <f t="shared" si="31"/>
        <v>25</v>
      </c>
      <c r="N517" s="54">
        <f t="shared" si="32"/>
        <v>0</v>
      </c>
    </row>
    <row r="518" spans="1:14" hidden="1">
      <c r="A518" s="30" t="s">
        <v>391</v>
      </c>
      <c r="B518" s="30" t="s">
        <v>345</v>
      </c>
      <c r="C518" s="73">
        <v>45400</v>
      </c>
      <c r="D518" s="30">
        <v>972</v>
      </c>
      <c r="E518" s="30" t="s">
        <v>346</v>
      </c>
      <c r="F518" s="30" t="s">
        <v>344</v>
      </c>
      <c r="G518" s="30" t="s">
        <v>402</v>
      </c>
      <c r="H518" s="30">
        <v>968938</v>
      </c>
      <c r="I518" s="30"/>
      <c r="J518" s="30" t="s">
        <v>181</v>
      </c>
      <c r="K518" s="64">
        <v>150</v>
      </c>
      <c r="L518" s="143"/>
      <c r="M518" s="64">
        <f t="shared" si="31"/>
        <v>150</v>
      </c>
      <c r="N518" s="54">
        <f t="shared" si="32"/>
        <v>0</v>
      </c>
    </row>
    <row r="519" spans="1:14" hidden="1">
      <c r="A519" s="30" t="s">
        <v>391</v>
      </c>
      <c r="B519" s="30" t="s">
        <v>345</v>
      </c>
      <c r="C519" s="73">
        <v>45400</v>
      </c>
      <c r="D519" s="30">
        <v>972</v>
      </c>
      <c r="E519" s="30" t="s">
        <v>346</v>
      </c>
      <c r="F519" s="30" t="s">
        <v>344</v>
      </c>
      <c r="G519" s="30" t="s">
        <v>402</v>
      </c>
      <c r="H519" s="30">
        <v>968938</v>
      </c>
      <c r="I519" s="30"/>
      <c r="J519" s="30" t="s">
        <v>182</v>
      </c>
      <c r="K519" s="64">
        <v>100</v>
      </c>
      <c r="L519" s="143"/>
      <c r="M519" s="64">
        <f t="shared" si="31"/>
        <v>100</v>
      </c>
      <c r="N519" s="54">
        <f t="shared" si="32"/>
        <v>0</v>
      </c>
    </row>
    <row r="520" spans="1:14" hidden="1">
      <c r="A520" s="30" t="s">
        <v>621</v>
      </c>
      <c r="B520" s="30" t="s">
        <v>345</v>
      </c>
      <c r="C520" s="73">
        <v>45400</v>
      </c>
      <c r="D520" s="30">
        <v>975</v>
      </c>
      <c r="E520" s="30" t="s">
        <v>346</v>
      </c>
      <c r="F520" s="30" t="s">
        <v>344</v>
      </c>
      <c r="G520" s="30" t="s">
        <v>622</v>
      </c>
      <c r="H520" s="30">
        <v>950818</v>
      </c>
      <c r="I520" s="30"/>
      <c r="J520" s="30" t="s">
        <v>181</v>
      </c>
      <c r="K520" s="64">
        <v>650.93200000000002</v>
      </c>
      <c r="L520" s="143">
        <v>322.69600000000003</v>
      </c>
      <c r="M520" s="64">
        <f t="shared" si="31"/>
        <v>328.23599999999999</v>
      </c>
      <c r="N520" s="54">
        <f t="shared" si="32"/>
        <v>0.49574456318017862</v>
      </c>
    </row>
    <row r="521" spans="1:14" hidden="1">
      <c r="A521" s="30" t="s">
        <v>627</v>
      </c>
      <c r="B521" s="30" t="s">
        <v>390</v>
      </c>
      <c r="C521" s="73">
        <v>45400</v>
      </c>
      <c r="D521" s="30">
        <v>978</v>
      </c>
      <c r="E521" s="30" t="s">
        <v>346</v>
      </c>
      <c r="F521" s="30" t="s">
        <v>344</v>
      </c>
      <c r="G521" s="30" t="s">
        <v>628</v>
      </c>
      <c r="H521" s="30">
        <v>952452</v>
      </c>
      <c r="I521" s="30"/>
      <c r="J521" s="30" t="s">
        <v>181</v>
      </c>
      <c r="K521" s="222">
        <v>813.63300000000004</v>
      </c>
      <c r="L521" s="143">
        <v>184.428</v>
      </c>
      <c r="M521" s="216">
        <f>K521-(L521+L522)</f>
        <v>552.85400000000004</v>
      </c>
      <c r="N521" s="217">
        <f>(L521+L522)/K521</f>
        <v>0.32051182781426024</v>
      </c>
    </row>
    <row r="522" spans="1:14" hidden="1">
      <c r="A522" s="30" t="s">
        <v>627</v>
      </c>
      <c r="B522" s="30" t="s">
        <v>390</v>
      </c>
      <c r="C522" s="73">
        <v>45400</v>
      </c>
      <c r="D522" s="30">
        <v>978</v>
      </c>
      <c r="E522" s="30" t="s">
        <v>346</v>
      </c>
      <c r="F522" s="30" t="s">
        <v>344</v>
      </c>
      <c r="G522" s="30" t="s">
        <v>629</v>
      </c>
      <c r="H522" s="30">
        <v>969679</v>
      </c>
      <c r="I522" s="30"/>
      <c r="J522" s="30" t="s">
        <v>181</v>
      </c>
      <c r="K522" s="223"/>
      <c r="L522" s="143">
        <v>76.350999999999999</v>
      </c>
      <c r="M522" s="216"/>
      <c r="N522" s="217"/>
    </row>
    <row r="523" spans="1:14" hidden="1">
      <c r="A523" s="30" t="s">
        <v>451</v>
      </c>
      <c r="B523" s="30" t="s">
        <v>390</v>
      </c>
      <c r="C523" s="73">
        <v>45405</v>
      </c>
      <c r="D523" s="30">
        <v>1031</v>
      </c>
      <c r="E523" s="30" t="s">
        <v>346</v>
      </c>
      <c r="F523" s="30" t="s">
        <v>344</v>
      </c>
      <c r="G523" s="30" t="s">
        <v>634</v>
      </c>
      <c r="H523" s="30">
        <v>964980</v>
      </c>
      <c r="I523" s="30"/>
      <c r="J523" s="30" t="s">
        <v>181</v>
      </c>
      <c r="K523" s="213">
        <v>643</v>
      </c>
      <c r="L523" s="143"/>
      <c r="M523" s="216">
        <f>K523-(L523+L524)</f>
        <v>643</v>
      </c>
      <c r="N523" s="217">
        <f>(L523+L524)/K523</f>
        <v>0</v>
      </c>
    </row>
    <row r="524" spans="1:14" hidden="1">
      <c r="A524" s="30" t="s">
        <v>451</v>
      </c>
      <c r="B524" s="30" t="s">
        <v>390</v>
      </c>
      <c r="C524" s="73">
        <v>45405</v>
      </c>
      <c r="D524" s="30">
        <v>1031</v>
      </c>
      <c r="E524" s="30" t="s">
        <v>346</v>
      </c>
      <c r="F524" s="30" t="s">
        <v>344</v>
      </c>
      <c r="G524" s="30" t="s">
        <v>635</v>
      </c>
      <c r="H524" s="30">
        <v>698447</v>
      </c>
      <c r="I524" s="30"/>
      <c r="J524" s="30" t="s">
        <v>181</v>
      </c>
      <c r="K524" s="215"/>
      <c r="L524" s="143"/>
      <c r="M524" s="216"/>
      <c r="N524" s="217"/>
    </row>
    <row r="525" spans="1:14" hidden="1">
      <c r="A525" s="30" t="s">
        <v>451</v>
      </c>
      <c r="B525" s="30" t="s">
        <v>390</v>
      </c>
      <c r="C525" s="73">
        <v>45405</v>
      </c>
      <c r="D525" s="30">
        <v>1031</v>
      </c>
      <c r="E525" s="30" t="s">
        <v>346</v>
      </c>
      <c r="F525" s="30" t="s">
        <v>344</v>
      </c>
      <c r="G525" s="30" t="s">
        <v>634</v>
      </c>
      <c r="H525" s="30">
        <v>964980</v>
      </c>
      <c r="I525" s="30"/>
      <c r="J525" s="30" t="s">
        <v>182</v>
      </c>
      <c r="K525" s="213">
        <v>941</v>
      </c>
      <c r="L525" s="143"/>
      <c r="M525" s="216">
        <f>K525-(L525+L526)</f>
        <v>941</v>
      </c>
      <c r="N525" s="217">
        <f>(L525+L526)/K525</f>
        <v>0</v>
      </c>
    </row>
    <row r="526" spans="1:14" hidden="1">
      <c r="A526" s="30" t="s">
        <v>451</v>
      </c>
      <c r="B526" s="30" t="s">
        <v>390</v>
      </c>
      <c r="C526" s="73">
        <v>45405</v>
      </c>
      <c r="D526" s="30">
        <v>1031</v>
      </c>
      <c r="E526" s="30" t="s">
        <v>346</v>
      </c>
      <c r="F526" s="30" t="s">
        <v>344</v>
      </c>
      <c r="G526" s="30" t="s">
        <v>635</v>
      </c>
      <c r="H526" s="30">
        <v>698447</v>
      </c>
      <c r="I526" s="30"/>
      <c r="J526" s="30" t="s">
        <v>182</v>
      </c>
      <c r="K526" s="215"/>
      <c r="L526" s="143"/>
      <c r="M526" s="216"/>
      <c r="N526" s="217"/>
    </row>
    <row r="527" spans="1:14" hidden="1">
      <c r="A527" s="30" t="s">
        <v>385</v>
      </c>
      <c r="B527" s="30" t="s">
        <v>390</v>
      </c>
      <c r="C527" s="73">
        <v>45405</v>
      </c>
      <c r="D527" s="30">
        <v>1033</v>
      </c>
      <c r="E527" s="30" t="s">
        <v>346</v>
      </c>
      <c r="F527" s="30" t="s">
        <v>344</v>
      </c>
      <c r="G527" s="30" t="s">
        <v>402</v>
      </c>
      <c r="H527" s="30">
        <v>968938</v>
      </c>
      <c r="I527" s="30"/>
      <c r="J527" s="30" t="s">
        <v>181</v>
      </c>
      <c r="K527" s="213">
        <v>343</v>
      </c>
      <c r="L527" s="143"/>
      <c r="M527" s="216">
        <f>K527-(L527+L528+L529+L530)</f>
        <v>343</v>
      </c>
      <c r="N527" s="217">
        <f>(L527+L528+L529+L530)/K527</f>
        <v>0</v>
      </c>
    </row>
    <row r="528" spans="1:14" hidden="1">
      <c r="A528" s="30" t="s">
        <v>385</v>
      </c>
      <c r="B528" s="30" t="s">
        <v>390</v>
      </c>
      <c r="C528" s="73">
        <v>45405</v>
      </c>
      <c r="D528" s="30">
        <v>1033</v>
      </c>
      <c r="E528" s="30" t="s">
        <v>346</v>
      </c>
      <c r="F528" s="30" t="s">
        <v>344</v>
      </c>
      <c r="G528" s="30" t="s">
        <v>401</v>
      </c>
      <c r="H528" s="30">
        <v>31015</v>
      </c>
      <c r="I528" s="30"/>
      <c r="J528" s="30" t="s">
        <v>181</v>
      </c>
      <c r="K528" s="214"/>
      <c r="L528" s="143"/>
      <c r="M528" s="216"/>
      <c r="N528" s="217"/>
    </row>
    <row r="529" spans="1:14" hidden="1">
      <c r="A529" s="30" t="s">
        <v>385</v>
      </c>
      <c r="B529" s="30" t="s">
        <v>390</v>
      </c>
      <c r="C529" s="73">
        <v>45405</v>
      </c>
      <c r="D529" s="30">
        <v>1033</v>
      </c>
      <c r="E529" s="30" t="s">
        <v>346</v>
      </c>
      <c r="F529" s="30" t="s">
        <v>344</v>
      </c>
      <c r="G529" s="30" t="s">
        <v>640</v>
      </c>
      <c r="H529" s="30">
        <v>700254</v>
      </c>
      <c r="I529" s="30"/>
      <c r="J529" s="30" t="s">
        <v>181</v>
      </c>
      <c r="K529" s="214"/>
      <c r="L529" s="143"/>
      <c r="M529" s="216"/>
      <c r="N529" s="217"/>
    </row>
    <row r="530" spans="1:14" hidden="1">
      <c r="A530" s="30" t="s">
        <v>385</v>
      </c>
      <c r="B530" s="30" t="s">
        <v>390</v>
      </c>
      <c r="C530" s="73">
        <v>45405</v>
      </c>
      <c r="D530" s="30">
        <v>1033</v>
      </c>
      <c r="E530" s="30" t="s">
        <v>346</v>
      </c>
      <c r="F530" s="30" t="s">
        <v>344</v>
      </c>
      <c r="G530" s="30" t="s">
        <v>403</v>
      </c>
      <c r="H530" s="30">
        <v>966410</v>
      </c>
      <c r="I530" s="30"/>
      <c r="J530" s="30" t="s">
        <v>181</v>
      </c>
      <c r="K530" s="215"/>
      <c r="L530" s="143"/>
      <c r="M530" s="216"/>
      <c r="N530" s="217"/>
    </row>
    <row r="531" spans="1:14" hidden="1">
      <c r="A531" s="30" t="s">
        <v>385</v>
      </c>
      <c r="B531" s="30" t="s">
        <v>390</v>
      </c>
      <c r="C531" s="73">
        <v>45405</v>
      </c>
      <c r="D531" s="30">
        <v>1033</v>
      </c>
      <c r="E531" s="30" t="s">
        <v>346</v>
      </c>
      <c r="F531" s="30" t="s">
        <v>344</v>
      </c>
      <c r="G531" s="30" t="s">
        <v>402</v>
      </c>
      <c r="H531" s="30">
        <v>968938</v>
      </c>
      <c r="I531" s="30"/>
      <c r="J531" s="30" t="s">
        <v>182</v>
      </c>
      <c r="K531" s="213">
        <v>657</v>
      </c>
      <c r="L531" s="143"/>
      <c r="M531" s="216">
        <f>K531-(L531+L532+L533+L534)</f>
        <v>657</v>
      </c>
      <c r="N531" s="217">
        <f>(L531+L532+L533+L534)/K531</f>
        <v>0</v>
      </c>
    </row>
    <row r="532" spans="1:14" hidden="1">
      <c r="A532" s="30" t="s">
        <v>385</v>
      </c>
      <c r="B532" s="30" t="s">
        <v>390</v>
      </c>
      <c r="C532" s="73">
        <v>45405</v>
      </c>
      <c r="D532" s="30">
        <v>1033</v>
      </c>
      <c r="E532" s="30" t="s">
        <v>346</v>
      </c>
      <c r="F532" s="30" t="s">
        <v>344</v>
      </c>
      <c r="G532" s="30" t="s">
        <v>401</v>
      </c>
      <c r="H532" s="30">
        <v>31015</v>
      </c>
      <c r="I532" s="30"/>
      <c r="J532" s="30" t="s">
        <v>182</v>
      </c>
      <c r="K532" s="214"/>
      <c r="L532" s="143"/>
      <c r="M532" s="216"/>
      <c r="N532" s="217"/>
    </row>
    <row r="533" spans="1:14" hidden="1">
      <c r="A533" s="30" t="s">
        <v>385</v>
      </c>
      <c r="B533" s="30" t="s">
        <v>390</v>
      </c>
      <c r="C533" s="73">
        <v>45405</v>
      </c>
      <c r="D533" s="30">
        <v>1033</v>
      </c>
      <c r="E533" s="30" t="s">
        <v>346</v>
      </c>
      <c r="F533" s="30" t="s">
        <v>344</v>
      </c>
      <c r="G533" s="30" t="s">
        <v>640</v>
      </c>
      <c r="H533" s="30">
        <v>700254</v>
      </c>
      <c r="I533" s="30"/>
      <c r="J533" s="30" t="s">
        <v>182</v>
      </c>
      <c r="K533" s="214"/>
      <c r="L533" s="143"/>
      <c r="M533" s="216"/>
      <c r="N533" s="217"/>
    </row>
    <row r="534" spans="1:14" hidden="1">
      <c r="A534" s="30" t="s">
        <v>385</v>
      </c>
      <c r="B534" s="30" t="s">
        <v>390</v>
      </c>
      <c r="C534" s="73">
        <v>45405</v>
      </c>
      <c r="D534" s="30">
        <v>1033</v>
      </c>
      <c r="E534" s="30" t="s">
        <v>346</v>
      </c>
      <c r="F534" s="30" t="s">
        <v>344</v>
      </c>
      <c r="G534" s="30" t="s">
        <v>403</v>
      </c>
      <c r="H534" s="30">
        <v>966410</v>
      </c>
      <c r="I534" s="30"/>
      <c r="J534" s="30" t="s">
        <v>182</v>
      </c>
      <c r="K534" s="215"/>
      <c r="L534" s="143"/>
      <c r="M534" s="216"/>
      <c r="N534" s="217"/>
    </row>
    <row r="535" spans="1:14" hidden="1">
      <c r="A535" s="30" t="s">
        <v>645</v>
      </c>
      <c r="B535" s="30" t="s">
        <v>345</v>
      </c>
      <c r="C535" s="73">
        <v>45408</v>
      </c>
      <c r="D535" s="30">
        <v>1064</v>
      </c>
      <c r="E535" s="30" t="s">
        <v>408</v>
      </c>
      <c r="F535" s="30" t="s">
        <v>377</v>
      </c>
      <c r="G535" s="30" t="s">
        <v>617</v>
      </c>
      <c r="H535" s="30">
        <v>955511</v>
      </c>
      <c r="I535" s="30"/>
      <c r="J535" s="30" t="s">
        <v>181</v>
      </c>
      <c r="K535" s="64">
        <v>9</v>
      </c>
      <c r="L535" s="143"/>
      <c r="M535" s="64">
        <f t="shared" ref="M535:M536" si="33">K535-L535</f>
        <v>9</v>
      </c>
      <c r="N535" s="54">
        <f t="shared" ref="N535:N536" si="34">L535/K535</f>
        <v>0</v>
      </c>
    </row>
    <row r="536" spans="1:14" hidden="1">
      <c r="A536" s="30" t="s">
        <v>645</v>
      </c>
      <c r="B536" s="30" t="s">
        <v>345</v>
      </c>
      <c r="C536" s="73">
        <v>45408</v>
      </c>
      <c r="D536" s="30">
        <v>1064</v>
      </c>
      <c r="E536" s="30" t="s">
        <v>408</v>
      </c>
      <c r="F536" s="30" t="s">
        <v>377</v>
      </c>
      <c r="G536" s="30" t="s">
        <v>617</v>
      </c>
      <c r="H536" s="30">
        <v>955511</v>
      </c>
      <c r="I536" s="30"/>
      <c r="J536" s="30" t="s">
        <v>182</v>
      </c>
      <c r="K536" s="64">
        <v>11</v>
      </c>
      <c r="L536" s="143"/>
      <c r="M536" s="64">
        <f t="shared" si="33"/>
        <v>11</v>
      </c>
      <c r="N536" s="54">
        <f t="shared" si="34"/>
        <v>0</v>
      </c>
    </row>
    <row r="537" spans="1:14" hidden="1">
      <c r="A537" s="30" t="s">
        <v>415</v>
      </c>
      <c r="B537" s="30" t="s">
        <v>345</v>
      </c>
      <c r="C537" s="73">
        <v>45408</v>
      </c>
      <c r="D537" s="30">
        <v>1066</v>
      </c>
      <c r="E537" s="30" t="s">
        <v>408</v>
      </c>
      <c r="F537" s="30" t="s">
        <v>377</v>
      </c>
      <c r="G537" s="30" t="s">
        <v>437</v>
      </c>
      <c r="H537" s="30">
        <v>964068</v>
      </c>
      <c r="I537" s="30"/>
      <c r="J537" s="30" t="s">
        <v>181</v>
      </c>
      <c r="K537" s="64">
        <v>50</v>
      </c>
      <c r="L537" s="143">
        <v>96.602999999999994</v>
      </c>
      <c r="M537" s="64">
        <f t="shared" ref="M537:M538" si="35">K537-L537</f>
        <v>-46.602999999999994</v>
      </c>
      <c r="N537" s="54">
        <f t="shared" ref="N537:N538" si="36">L537/K537</f>
        <v>1.9320599999999999</v>
      </c>
    </row>
    <row r="538" spans="1:14" hidden="1">
      <c r="A538" s="30" t="s">
        <v>415</v>
      </c>
      <c r="B538" s="30" t="s">
        <v>345</v>
      </c>
      <c r="C538" s="73">
        <v>45408</v>
      </c>
      <c r="D538" s="30">
        <v>1066</v>
      </c>
      <c r="E538" s="30" t="s">
        <v>408</v>
      </c>
      <c r="F538" s="30" t="s">
        <v>377</v>
      </c>
      <c r="G538" s="30" t="s">
        <v>437</v>
      </c>
      <c r="H538" s="30">
        <v>964068</v>
      </c>
      <c r="I538" s="30"/>
      <c r="J538" s="30" t="s">
        <v>182</v>
      </c>
      <c r="K538" s="64">
        <v>50</v>
      </c>
      <c r="L538" s="143">
        <v>3.3969999999999998</v>
      </c>
      <c r="M538" s="64">
        <f t="shared" si="35"/>
        <v>46.603000000000002</v>
      </c>
      <c r="N538" s="54">
        <f t="shared" si="36"/>
        <v>6.794E-2</v>
      </c>
    </row>
    <row r="539" spans="1:14" hidden="1">
      <c r="A539" s="30" t="s">
        <v>651</v>
      </c>
      <c r="B539" s="30" t="s">
        <v>345</v>
      </c>
      <c r="C539" s="73">
        <v>45412</v>
      </c>
      <c r="D539" s="30">
        <v>1112</v>
      </c>
      <c r="E539" s="30" t="s">
        <v>408</v>
      </c>
      <c r="F539" s="30" t="s">
        <v>377</v>
      </c>
      <c r="G539" s="30" t="s">
        <v>457</v>
      </c>
      <c r="H539" s="30">
        <v>700493</v>
      </c>
      <c r="I539" s="30"/>
      <c r="J539" s="30" t="s">
        <v>181</v>
      </c>
      <c r="K539" s="64">
        <v>10</v>
      </c>
      <c r="L539" s="143"/>
      <c r="M539" s="64">
        <f t="shared" ref="M539:M540" si="37">K539-L539</f>
        <v>10</v>
      </c>
      <c r="N539" s="54">
        <f t="shared" ref="N539:N540" si="38">L539/K539</f>
        <v>0</v>
      </c>
    </row>
    <row r="540" spans="1:14" hidden="1">
      <c r="A540" s="30" t="s">
        <v>651</v>
      </c>
      <c r="B540" s="30" t="s">
        <v>345</v>
      </c>
      <c r="C540" s="73">
        <v>45412</v>
      </c>
      <c r="D540" s="30">
        <v>1112</v>
      </c>
      <c r="E540" s="30" t="s">
        <v>408</v>
      </c>
      <c r="F540" s="30" t="s">
        <v>377</v>
      </c>
      <c r="G540" s="30" t="s">
        <v>457</v>
      </c>
      <c r="H540" s="30">
        <v>700493</v>
      </c>
      <c r="I540" s="30"/>
      <c r="J540" s="30" t="s">
        <v>182</v>
      </c>
      <c r="K540" s="64">
        <v>110</v>
      </c>
      <c r="L540" s="143"/>
      <c r="M540" s="64">
        <f t="shared" si="37"/>
        <v>110</v>
      </c>
      <c r="N540" s="54">
        <f t="shared" si="38"/>
        <v>0</v>
      </c>
    </row>
    <row r="541" spans="1:14" hidden="1">
      <c r="A541" s="30" t="s">
        <v>652</v>
      </c>
      <c r="B541" s="30" t="s">
        <v>345</v>
      </c>
      <c r="C541" s="73">
        <v>45414</v>
      </c>
      <c r="D541" s="30">
        <v>1132</v>
      </c>
      <c r="E541" s="30" t="s">
        <v>408</v>
      </c>
      <c r="F541" s="30" t="s">
        <v>377</v>
      </c>
      <c r="G541" s="30" t="s">
        <v>458</v>
      </c>
      <c r="H541" s="30">
        <v>700812</v>
      </c>
      <c r="I541" s="30"/>
      <c r="J541" s="30" t="s">
        <v>181</v>
      </c>
      <c r="K541" s="64">
        <v>50</v>
      </c>
      <c r="L541" s="143">
        <v>63.087000000000003</v>
      </c>
      <c r="M541" s="64">
        <f t="shared" ref="M541:M542" si="39">K541-L541</f>
        <v>-13.087000000000003</v>
      </c>
      <c r="N541" s="54">
        <f t="shared" ref="N541:N542" si="40">L541/K541</f>
        <v>1.2617400000000001</v>
      </c>
    </row>
    <row r="542" spans="1:14" hidden="1">
      <c r="A542" s="30" t="s">
        <v>652</v>
      </c>
      <c r="B542" s="30" t="s">
        <v>345</v>
      </c>
      <c r="C542" s="73">
        <v>45414</v>
      </c>
      <c r="D542" s="30">
        <v>1132</v>
      </c>
      <c r="E542" s="30" t="s">
        <v>408</v>
      </c>
      <c r="F542" s="30" t="s">
        <v>377</v>
      </c>
      <c r="G542" s="30" t="s">
        <v>458</v>
      </c>
      <c r="H542" s="30">
        <v>700812</v>
      </c>
      <c r="I542" s="30"/>
      <c r="J542" s="30" t="s">
        <v>182</v>
      </c>
      <c r="K542" s="64">
        <v>100</v>
      </c>
      <c r="L542" s="143">
        <v>46.527999999999999</v>
      </c>
      <c r="M542" s="64">
        <f t="shared" si="39"/>
        <v>53.472000000000001</v>
      </c>
      <c r="N542" s="54">
        <f t="shared" si="40"/>
        <v>0.46527999999999997</v>
      </c>
    </row>
    <row r="543" spans="1:14" hidden="1">
      <c r="A543" s="30" t="s">
        <v>652</v>
      </c>
      <c r="B543" s="30" t="s">
        <v>345</v>
      </c>
      <c r="C543" s="73">
        <v>45414</v>
      </c>
      <c r="D543" s="30">
        <v>1132</v>
      </c>
      <c r="E543" s="30" t="s">
        <v>408</v>
      </c>
      <c r="F543" s="30" t="s">
        <v>377</v>
      </c>
      <c r="G543" s="30" t="s">
        <v>464</v>
      </c>
      <c r="H543" s="30">
        <v>967851</v>
      </c>
      <c r="I543" s="30"/>
      <c r="J543" s="30" t="s">
        <v>181</v>
      </c>
      <c r="K543" s="64">
        <v>25</v>
      </c>
      <c r="L543" s="143">
        <v>4.8479999999999999</v>
      </c>
      <c r="M543" s="64">
        <f t="shared" ref="M543:M544" si="41">K543-L543</f>
        <v>20.152000000000001</v>
      </c>
      <c r="N543" s="54">
        <f t="shared" ref="N543:N544" si="42">L543/K543</f>
        <v>0.19391999999999998</v>
      </c>
    </row>
    <row r="544" spans="1:14" hidden="1">
      <c r="A544" s="30" t="s">
        <v>652</v>
      </c>
      <c r="B544" s="30" t="s">
        <v>345</v>
      </c>
      <c r="C544" s="73">
        <v>45414</v>
      </c>
      <c r="D544" s="30">
        <v>1132</v>
      </c>
      <c r="E544" s="30" t="s">
        <v>408</v>
      </c>
      <c r="F544" s="30" t="s">
        <v>377</v>
      </c>
      <c r="G544" s="30" t="s">
        <v>464</v>
      </c>
      <c r="H544" s="30">
        <v>967851</v>
      </c>
      <c r="I544" s="30"/>
      <c r="J544" s="30" t="s">
        <v>182</v>
      </c>
      <c r="K544" s="64">
        <v>75</v>
      </c>
      <c r="L544" s="143">
        <v>0.95399999999999996</v>
      </c>
      <c r="M544" s="64">
        <f t="shared" si="41"/>
        <v>74.046000000000006</v>
      </c>
      <c r="N544" s="54">
        <f t="shared" si="42"/>
        <v>1.2719999999999999E-2</v>
      </c>
    </row>
    <row r="545" spans="1:14" hidden="1">
      <c r="A545" s="30" t="s">
        <v>541</v>
      </c>
      <c r="B545" s="30" t="s">
        <v>345</v>
      </c>
      <c r="C545" s="73">
        <v>45414</v>
      </c>
      <c r="D545" s="30">
        <v>1138</v>
      </c>
      <c r="E545" s="30" t="s">
        <v>408</v>
      </c>
      <c r="F545" s="30" t="s">
        <v>377</v>
      </c>
      <c r="G545" s="30" t="s">
        <v>549</v>
      </c>
      <c r="H545" s="30">
        <v>966328</v>
      </c>
      <c r="I545" s="30"/>
      <c r="J545" s="30" t="s">
        <v>181</v>
      </c>
      <c r="K545" s="64">
        <v>40</v>
      </c>
      <c r="L545" s="143">
        <v>22.542000000000002</v>
      </c>
      <c r="M545" s="64">
        <f t="shared" ref="M545:M548" si="43">K545-L545</f>
        <v>17.457999999999998</v>
      </c>
      <c r="N545" s="54">
        <f t="shared" ref="N545:N548" si="44">L545/K545</f>
        <v>0.56355</v>
      </c>
    </row>
    <row r="546" spans="1:14" hidden="1">
      <c r="A546" s="30" t="s">
        <v>541</v>
      </c>
      <c r="B546" s="30" t="s">
        <v>345</v>
      </c>
      <c r="C546" s="73">
        <v>45414</v>
      </c>
      <c r="D546" s="30">
        <v>1138</v>
      </c>
      <c r="E546" s="30" t="s">
        <v>408</v>
      </c>
      <c r="F546" s="30" t="s">
        <v>377</v>
      </c>
      <c r="G546" s="30" t="s">
        <v>549</v>
      </c>
      <c r="H546" s="30">
        <v>966328</v>
      </c>
      <c r="I546" s="30"/>
      <c r="J546" s="30" t="s">
        <v>182</v>
      </c>
      <c r="K546" s="64">
        <v>80</v>
      </c>
      <c r="L546" s="143">
        <v>9.6349999999999998</v>
      </c>
      <c r="M546" s="64">
        <f t="shared" si="43"/>
        <v>70.364999999999995</v>
      </c>
      <c r="N546" s="54">
        <f t="shared" si="44"/>
        <v>0.1204375</v>
      </c>
    </row>
    <row r="547" spans="1:14" hidden="1">
      <c r="A547" s="30" t="s">
        <v>487</v>
      </c>
      <c r="B547" s="30" t="s">
        <v>345</v>
      </c>
      <c r="C547" s="73">
        <v>45414</v>
      </c>
      <c r="D547" s="30">
        <v>1133</v>
      </c>
      <c r="E547" s="30" t="s">
        <v>408</v>
      </c>
      <c r="F547" s="30" t="s">
        <v>377</v>
      </c>
      <c r="G547" s="30" t="s">
        <v>457</v>
      </c>
      <c r="H547" s="30">
        <v>700493</v>
      </c>
      <c r="I547" s="30"/>
      <c r="J547" s="30" t="s">
        <v>181</v>
      </c>
      <c r="K547" s="64">
        <v>20</v>
      </c>
      <c r="L547" s="143"/>
      <c r="M547" s="64">
        <f t="shared" si="43"/>
        <v>20</v>
      </c>
      <c r="N547" s="54">
        <f t="shared" si="44"/>
        <v>0</v>
      </c>
    </row>
    <row r="548" spans="1:14" hidden="1">
      <c r="A548" s="30" t="s">
        <v>487</v>
      </c>
      <c r="B548" s="30" t="s">
        <v>345</v>
      </c>
      <c r="C548" s="73">
        <v>45414</v>
      </c>
      <c r="D548" s="30">
        <v>1133</v>
      </c>
      <c r="E548" s="30" t="s">
        <v>408</v>
      </c>
      <c r="F548" s="30" t="s">
        <v>377</v>
      </c>
      <c r="G548" s="30" t="s">
        <v>457</v>
      </c>
      <c r="H548" s="30">
        <v>700493</v>
      </c>
      <c r="I548" s="30"/>
      <c r="J548" s="30" t="s">
        <v>182</v>
      </c>
      <c r="K548" s="64">
        <v>30</v>
      </c>
      <c r="L548" s="143"/>
      <c r="M548" s="64">
        <f t="shared" si="43"/>
        <v>30</v>
      </c>
      <c r="N548" s="54">
        <f t="shared" si="44"/>
        <v>0</v>
      </c>
    </row>
    <row r="549" spans="1:14" hidden="1">
      <c r="A549" s="30" t="s">
        <v>541</v>
      </c>
      <c r="B549" s="30" t="s">
        <v>345</v>
      </c>
      <c r="C549" s="73">
        <v>45414</v>
      </c>
      <c r="D549" s="30">
        <v>1139</v>
      </c>
      <c r="E549" s="30" t="s">
        <v>408</v>
      </c>
      <c r="F549" s="30" t="s">
        <v>377</v>
      </c>
      <c r="G549" s="30" t="s">
        <v>474</v>
      </c>
      <c r="H549" s="30">
        <v>701405</v>
      </c>
      <c r="I549" s="30"/>
      <c r="J549" s="30" t="s">
        <v>181</v>
      </c>
      <c r="K549" s="64">
        <v>40</v>
      </c>
      <c r="L549" s="143"/>
      <c r="M549" s="64">
        <f t="shared" ref="M549:M550" si="45">K549-L549</f>
        <v>40</v>
      </c>
      <c r="N549" s="54">
        <f t="shared" ref="N549:N550" si="46">L549/K549</f>
        <v>0</v>
      </c>
    </row>
    <row r="550" spans="1:14" hidden="1">
      <c r="A550" s="30" t="s">
        <v>541</v>
      </c>
      <c r="B550" s="30" t="s">
        <v>345</v>
      </c>
      <c r="C550" s="73">
        <v>45414</v>
      </c>
      <c r="D550" s="30">
        <v>1139</v>
      </c>
      <c r="E550" s="30" t="s">
        <v>408</v>
      </c>
      <c r="F550" s="30" t="s">
        <v>377</v>
      </c>
      <c r="G550" s="30" t="s">
        <v>474</v>
      </c>
      <c r="H550" s="30">
        <v>701405</v>
      </c>
      <c r="I550" s="30"/>
      <c r="J550" s="30" t="s">
        <v>182</v>
      </c>
      <c r="K550" s="64">
        <v>80</v>
      </c>
      <c r="L550" s="143"/>
      <c r="M550" s="64">
        <f t="shared" si="45"/>
        <v>80</v>
      </c>
      <c r="N550" s="54">
        <f t="shared" si="46"/>
        <v>0</v>
      </c>
    </row>
    <row r="551" spans="1:14" hidden="1">
      <c r="A551" s="30" t="s">
        <v>653</v>
      </c>
      <c r="B551" s="30" t="s">
        <v>345</v>
      </c>
      <c r="C551" s="73">
        <v>45414</v>
      </c>
      <c r="D551" s="30">
        <v>1140</v>
      </c>
      <c r="E551" s="30" t="s">
        <v>408</v>
      </c>
      <c r="F551" s="30" t="s">
        <v>377</v>
      </c>
      <c r="G551" s="30" t="s">
        <v>548</v>
      </c>
      <c r="H551" s="30">
        <v>701977</v>
      </c>
      <c r="I551" s="30"/>
      <c r="J551" s="30" t="s">
        <v>181</v>
      </c>
      <c r="K551" s="64">
        <v>70</v>
      </c>
      <c r="L551" s="143">
        <v>47.89</v>
      </c>
      <c r="M551" s="64">
        <f t="shared" ref="M551:M552" si="47">K551-L551</f>
        <v>22.11</v>
      </c>
      <c r="N551" s="54">
        <f t="shared" ref="N551:N552" si="48">L551/K551</f>
        <v>0.68414285714285716</v>
      </c>
    </row>
    <row r="552" spans="1:14" hidden="1">
      <c r="A552" s="30" t="s">
        <v>653</v>
      </c>
      <c r="B552" s="30" t="s">
        <v>345</v>
      </c>
      <c r="C552" s="73">
        <v>45414</v>
      </c>
      <c r="D552" s="30">
        <v>1140</v>
      </c>
      <c r="E552" s="30" t="s">
        <v>408</v>
      </c>
      <c r="F552" s="30" t="s">
        <v>377</v>
      </c>
      <c r="G552" s="30" t="s">
        <v>548</v>
      </c>
      <c r="H552" s="30">
        <v>701977</v>
      </c>
      <c r="I552" s="30"/>
      <c r="J552" s="30" t="s">
        <v>182</v>
      </c>
      <c r="K552" s="64">
        <v>98</v>
      </c>
      <c r="L552" s="143"/>
      <c r="M552" s="64">
        <f t="shared" si="47"/>
        <v>98</v>
      </c>
      <c r="N552" s="54">
        <f t="shared" si="48"/>
        <v>0</v>
      </c>
    </row>
    <row r="553" spans="1:14" hidden="1">
      <c r="A553" s="30" t="s">
        <v>451</v>
      </c>
      <c r="B553" s="30" t="s">
        <v>390</v>
      </c>
      <c r="C553" s="73">
        <v>45411</v>
      </c>
      <c r="D553" s="30">
        <v>1106</v>
      </c>
      <c r="E553" s="30" t="s">
        <v>346</v>
      </c>
      <c r="F553" s="30" t="s">
        <v>344</v>
      </c>
      <c r="G553" s="30" t="s">
        <v>646</v>
      </c>
      <c r="H553" s="30">
        <v>926064</v>
      </c>
      <c r="I553" s="30"/>
      <c r="J553" s="30" t="s">
        <v>181</v>
      </c>
      <c r="K553" s="213">
        <v>945</v>
      </c>
      <c r="L553" s="143"/>
      <c r="M553" s="213">
        <f>K553-(L553+L554)</f>
        <v>945</v>
      </c>
      <c r="N553" s="217">
        <f>(L553+L554)/K553</f>
        <v>0</v>
      </c>
    </row>
    <row r="554" spans="1:14" hidden="1">
      <c r="A554" s="30" t="s">
        <v>451</v>
      </c>
      <c r="B554" s="30" t="s">
        <v>390</v>
      </c>
      <c r="C554" s="73">
        <v>45411</v>
      </c>
      <c r="D554" s="30">
        <v>1106</v>
      </c>
      <c r="E554" s="30" t="s">
        <v>346</v>
      </c>
      <c r="F554" s="30" t="s">
        <v>344</v>
      </c>
      <c r="G554" s="30" t="s">
        <v>647</v>
      </c>
      <c r="H554" s="30">
        <v>702173</v>
      </c>
      <c r="I554" s="30"/>
      <c r="J554" s="30" t="s">
        <v>181</v>
      </c>
      <c r="K554" s="215"/>
      <c r="L554" s="143"/>
      <c r="M554" s="215"/>
      <c r="N554" s="217"/>
    </row>
    <row r="555" spans="1:14" hidden="1">
      <c r="A555" s="30" t="s">
        <v>451</v>
      </c>
      <c r="B555" s="30" t="s">
        <v>390</v>
      </c>
      <c r="C555" s="73">
        <v>45411</v>
      </c>
      <c r="D555" s="30">
        <v>1106</v>
      </c>
      <c r="E555" s="30" t="s">
        <v>346</v>
      </c>
      <c r="F555" s="30" t="s">
        <v>344</v>
      </c>
      <c r="G555" s="30" t="s">
        <v>646</v>
      </c>
      <c r="H555" s="30">
        <v>926064</v>
      </c>
      <c r="I555" s="30"/>
      <c r="J555" s="30" t="s">
        <v>182</v>
      </c>
      <c r="K555" s="213">
        <v>1388</v>
      </c>
      <c r="L555" s="143"/>
      <c r="M555" s="213">
        <f>K555-(L555+L556)</f>
        <v>1388</v>
      </c>
      <c r="N555" s="217">
        <f>(L555+L556)/K555</f>
        <v>0</v>
      </c>
    </row>
    <row r="556" spans="1:14" hidden="1">
      <c r="A556" s="30" t="s">
        <v>451</v>
      </c>
      <c r="B556" s="30" t="s">
        <v>390</v>
      </c>
      <c r="C556" s="73">
        <v>45411</v>
      </c>
      <c r="D556" s="30">
        <v>1106</v>
      </c>
      <c r="E556" s="30" t="s">
        <v>346</v>
      </c>
      <c r="F556" s="30" t="s">
        <v>344</v>
      </c>
      <c r="G556" s="30" t="s">
        <v>647</v>
      </c>
      <c r="H556" s="30">
        <v>702173</v>
      </c>
      <c r="I556" s="30"/>
      <c r="J556" s="30" t="s">
        <v>182</v>
      </c>
      <c r="K556" s="215"/>
      <c r="L556" s="143"/>
      <c r="M556" s="215"/>
      <c r="N556" s="217"/>
    </row>
    <row r="557" spans="1:14" hidden="1">
      <c r="A557" s="30" t="s">
        <v>451</v>
      </c>
      <c r="B557" s="30" t="s">
        <v>390</v>
      </c>
      <c r="C557" s="73">
        <v>45411</v>
      </c>
      <c r="D557" s="30">
        <v>1106</v>
      </c>
      <c r="E557" s="30" t="s">
        <v>346</v>
      </c>
      <c r="F557" s="30" t="s">
        <v>344</v>
      </c>
      <c r="G557" s="30" t="s">
        <v>648</v>
      </c>
      <c r="H557" s="30">
        <v>968423</v>
      </c>
      <c r="I557" s="30"/>
      <c r="J557" s="30" t="s">
        <v>181</v>
      </c>
      <c r="K557" s="213">
        <v>597</v>
      </c>
      <c r="L557" s="143"/>
      <c r="M557" s="213">
        <f>K557-(L557+L558+L559)</f>
        <v>597</v>
      </c>
      <c r="N557" s="217">
        <f>(L557+L558+L559)/K557</f>
        <v>0</v>
      </c>
    </row>
    <row r="558" spans="1:14" hidden="1">
      <c r="A558" s="30" t="s">
        <v>451</v>
      </c>
      <c r="B558" s="30" t="s">
        <v>390</v>
      </c>
      <c r="C558" s="73">
        <v>45411</v>
      </c>
      <c r="D558" s="30">
        <v>1106</v>
      </c>
      <c r="E558" s="30" t="s">
        <v>346</v>
      </c>
      <c r="F558" s="30" t="s">
        <v>344</v>
      </c>
      <c r="G558" s="30" t="s">
        <v>649</v>
      </c>
      <c r="H558" s="30">
        <v>698133</v>
      </c>
      <c r="I558" s="30"/>
      <c r="J558" s="30" t="s">
        <v>181</v>
      </c>
      <c r="K558" s="214"/>
      <c r="L558" s="143"/>
      <c r="M558" s="214"/>
      <c r="N558" s="217"/>
    </row>
    <row r="559" spans="1:14" hidden="1">
      <c r="A559" s="30" t="s">
        <v>451</v>
      </c>
      <c r="B559" s="30" t="s">
        <v>390</v>
      </c>
      <c r="C559" s="73">
        <v>45411</v>
      </c>
      <c r="D559" s="30">
        <v>1106</v>
      </c>
      <c r="E559" s="30" t="s">
        <v>346</v>
      </c>
      <c r="F559" s="30" t="s">
        <v>344</v>
      </c>
      <c r="G559" s="30" t="s">
        <v>650</v>
      </c>
      <c r="H559" s="30">
        <v>967692</v>
      </c>
      <c r="I559" s="30"/>
      <c r="J559" s="30" t="s">
        <v>181</v>
      </c>
      <c r="K559" s="215"/>
      <c r="L559" s="143"/>
      <c r="M559" s="215"/>
      <c r="N559" s="217"/>
    </row>
    <row r="560" spans="1:14" hidden="1">
      <c r="A560" s="30" t="s">
        <v>451</v>
      </c>
      <c r="B560" s="30" t="s">
        <v>390</v>
      </c>
      <c r="C560" s="73">
        <v>45411</v>
      </c>
      <c r="D560" s="30">
        <v>1106</v>
      </c>
      <c r="E560" s="30" t="s">
        <v>346</v>
      </c>
      <c r="F560" s="30" t="s">
        <v>344</v>
      </c>
      <c r="G560" s="30" t="s">
        <v>648</v>
      </c>
      <c r="H560" s="30">
        <v>968423</v>
      </c>
      <c r="I560" s="30"/>
      <c r="J560" s="30" t="s">
        <v>182</v>
      </c>
      <c r="K560" s="213">
        <v>875</v>
      </c>
      <c r="L560" s="143"/>
      <c r="M560" s="213">
        <f>K560-(L560+L561+L562)</f>
        <v>875</v>
      </c>
      <c r="N560" s="217">
        <f>(L560+L561+L562)/K560</f>
        <v>0</v>
      </c>
    </row>
    <row r="561" spans="1:14" hidden="1">
      <c r="A561" s="30" t="s">
        <v>451</v>
      </c>
      <c r="B561" s="30" t="s">
        <v>390</v>
      </c>
      <c r="C561" s="73">
        <v>45411</v>
      </c>
      <c r="D561" s="30">
        <v>1106</v>
      </c>
      <c r="E561" s="30" t="s">
        <v>346</v>
      </c>
      <c r="F561" s="30" t="s">
        <v>344</v>
      </c>
      <c r="G561" s="30" t="s">
        <v>649</v>
      </c>
      <c r="H561" s="30">
        <v>698133</v>
      </c>
      <c r="I561" s="30"/>
      <c r="J561" s="30" t="s">
        <v>182</v>
      </c>
      <c r="K561" s="214"/>
      <c r="L561" s="143"/>
      <c r="M561" s="214"/>
      <c r="N561" s="217"/>
    </row>
    <row r="562" spans="1:14" hidden="1">
      <c r="A562" s="30" t="s">
        <v>451</v>
      </c>
      <c r="B562" s="30" t="s">
        <v>390</v>
      </c>
      <c r="C562" s="73">
        <v>45411</v>
      </c>
      <c r="D562" s="30">
        <v>1106</v>
      </c>
      <c r="E562" s="30" t="s">
        <v>346</v>
      </c>
      <c r="F562" s="30" t="s">
        <v>344</v>
      </c>
      <c r="G562" s="30" t="s">
        <v>650</v>
      </c>
      <c r="H562" s="30">
        <v>967692</v>
      </c>
      <c r="I562" s="30"/>
      <c r="J562" s="30" t="s">
        <v>182</v>
      </c>
      <c r="K562" s="215"/>
      <c r="L562" s="143"/>
      <c r="M562" s="215"/>
      <c r="N562" s="217"/>
    </row>
    <row r="563" spans="1:14" hidden="1">
      <c r="A563" s="30" t="s">
        <v>385</v>
      </c>
      <c r="B563" s="30" t="s">
        <v>390</v>
      </c>
      <c r="C563" s="73">
        <v>45400</v>
      </c>
      <c r="D563" s="30">
        <v>971</v>
      </c>
      <c r="E563" s="30" t="s">
        <v>346</v>
      </c>
      <c r="F563" s="30" t="s">
        <v>344</v>
      </c>
      <c r="G563" s="30" t="s">
        <v>655</v>
      </c>
      <c r="H563" s="30">
        <v>968579</v>
      </c>
      <c r="I563" s="30"/>
      <c r="J563" s="30" t="s">
        <v>181</v>
      </c>
      <c r="K563" s="213">
        <v>103</v>
      </c>
      <c r="L563" s="143">
        <v>34.768999999999998</v>
      </c>
      <c r="M563" s="213">
        <f>K563-(L563+L564)</f>
        <v>68.230999999999995</v>
      </c>
      <c r="N563" s="217">
        <f>(L563+L564)/K563</f>
        <v>0.33756310679611651</v>
      </c>
    </row>
    <row r="564" spans="1:14" hidden="1">
      <c r="A564" s="30" t="s">
        <v>385</v>
      </c>
      <c r="B564" s="30" t="s">
        <v>390</v>
      </c>
      <c r="C564" s="73">
        <v>45400</v>
      </c>
      <c r="D564" s="30">
        <v>971</v>
      </c>
      <c r="E564" s="30" t="s">
        <v>346</v>
      </c>
      <c r="F564" s="30" t="s">
        <v>344</v>
      </c>
      <c r="G564" s="30" t="s">
        <v>656</v>
      </c>
      <c r="H564" s="30">
        <v>700487</v>
      </c>
      <c r="I564" s="30"/>
      <c r="J564" s="30" t="s">
        <v>181</v>
      </c>
      <c r="K564" s="215"/>
      <c r="L564" s="143"/>
      <c r="M564" s="215"/>
      <c r="N564" s="217"/>
    </row>
    <row r="565" spans="1:14" hidden="1">
      <c r="A565" s="30" t="s">
        <v>385</v>
      </c>
      <c r="B565" s="30" t="s">
        <v>390</v>
      </c>
      <c r="C565" s="73">
        <v>45400</v>
      </c>
      <c r="D565" s="30">
        <v>971</v>
      </c>
      <c r="E565" s="30" t="s">
        <v>346</v>
      </c>
      <c r="F565" s="30" t="s">
        <v>344</v>
      </c>
      <c r="G565" s="30" t="s">
        <v>655</v>
      </c>
      <c r="H565" s="30">
        <v>968579</v>
      </c>
      <c r="I565" s="30"/>
      <c r="J565" s="30" t="s">
        <v>182</v>
      </c>
      <c r="K565" s="213">
        <v>197</v>
      </c>
      <c r="L565" s="143">
        <v>3.6709999999999998</v>
      </c>
      <c r="M565" s="213">
        <f>K565-(L565+L566)</f>
        <v>193.32900000000001</v>
      </c>
      <c r="N565" s="217">
        <f>(L565+L566)/K565</f>
        <v>1.8634517766497462E-2</v>
      </c>
    </row>
    <row r="566" spans="1:14" hidden="1">
      <c r="A566" s="30" t="s">
        <v>385</v>
      </c>
      <c r="B566" s="30" t="s">
        <v>390</v>
      </c>
      <c r="C566" s="73">
        <v>45400</v>
      </c>
      <c r="D566" s="30">
        <v>971</v>
      </c>
      <c r="E566" s="30" t="s">
        <v>346</v>
      </c>
      <c r="F566" s="30" t="s">
        <v>344</v>
      </c>
      <c r="G566" s="30" t="s">
        <v>656</v>
      </c>
      <c r="H566" s="30">
        <v>700487</v>
      </c>
      <c r="I566" s="30"/>
      <c r="J566" s="30" t="s">
        <v>182</v>
      </c>
      <c r="K566" s="215"/>
      <c r="L566" s="143"/>
      <c r="M566" s="215"/>
      <c r="N566" s="217"/>
    </row>
    <row r="567" spans="1:14" hidden="1">
      <c r="A567" s="30" t="s">
        <v>343</v>
      </c>
      <c r="B567" s="30" t="s">
        <v>345</v>
      </c>
      <c r="C567" s="73">
        <v>45426</v>
      </c>
      <c r="D567" s="30">
        <v>1210</v>
      </c>
      <c r="E567" s="30" t="s">
        <v>346</v>
      </c>
      <c r="F567" s="30" t="s">
        <v>344</v>
      </c>
      <c r="G567" s="30" t="s">
        <v>622</v>
      </c>
      <c r="H567" s="30">
        <v>950818</v>
      </c>
      <c r="I567" s="30"/>
      <c r="J567" s="30" t="s">
        <v>181</v>
      </c>
      <c r="K567" s="64">
        <v>193</v>
      </c>
      <c r="L567" s="143"/>
      <c r="M567" s="64">
        <f t="shared" ref="M567:M568" si="49">K567-L567</f>
        <v>193</v>
      </c>
      <c r="N567" s="54">
        <f t="shared" ref="N567:N568" si="50">L567/K567</f>
        <v>0</v>
      </c>
    </row>
    <row r="568" spans="1:14" hidden="1">
      <c r="A568" s="30" t="s">
        <v>343</v>
      </c>
      <c r="B568" s="30" t="s">
        <v>345</v>
      </c>
      <c r="C568" s="73">
        <v>45426</v>
      </c>
      <c r="D568" s="30">
        <v>1210</v>
      </c>
      <c r="E568" s="30" t="s">
        <v>346</v>
      </c>
      <c r="F568" s="30" t="s">
        <v>344</v>
      </c>
      <c r="G568" s="30" t="s">
        <v>622</v>
      </c>
      <c r="H568" s="30">
        <v>950818</v>
      </c>
      <c r="I568" s="30"/>
      <c r="J568" s="30" t="s">
        <v>182</v>
      </c>
      <c r="K568" s="64">
        <v>207</v>
      </c>
      <c r="L568" s="143">
        <v>6.8680000000000003</v>
      </c>
      <c r="M568" s="64">
        <f t="shared" si="49"/>
        <v>200.13200000000001</v>
      </c>
      <c r="N568" s="54">
        <f t="shared" si="50"/>
        <v>3.3178743961352661E-2</v>
      </c>
    </row>
    <row r="569" spans="1:14" hidden="1">
      <c r="A569" s="30" t="s">
        <v>343</v>
      </c>
      <c r="B569" s="30" t="s">
        <v>345</v>
      </c>
      <c r="C569" s="73">
        <v>45426</v>
      </c>
      <c r="D569" s="30">
        <v>1210</v>
      </c>
      <c r="E569" s="30" t="s">
        <v>346</v>
      </c>
      <c r="F569" s="30" t="s">
        <v>344</v>
      </c>
      <c r="G569" s="30" t="s">
        <v>657</v>
      </c>
      <c r="H569" s="30">
        <v>966577</v>
      </c>
      <c r="I569" s="30"/>
      <c r="J569" s="30" t="s">
        <v>181</v>
      </c>
      <c r="K569" s="64">
        <v>193</v>
      </c>
      <c r="L569" s="143"/>
      <c r="M569" s="64">
        <f t="shared" ref="M569:M570" si="51">K569-L569</f>
        <v>193</v>
      </c>
      <c r="N569" s="54">
        <f t="shared" ref="N569:N570" si="52">L569/K569</f>
        <v>0</v>
      </c>
    </row>
    <row r="570" spans="1:14" hidden="1">
      <c r="A570" s="30" t="s">
        <v>343</v>
      </c>
      <c r="B570" s="30" t="s">
        <v>345</v>
      </c>
      <c r="C570" s="73">
        <v>45426</v>
      </c>
      <c r="D570" s="30">
        <v>1210</v>
      </c>
      <c r="E570" s="30" t="s">
        <v>346</v>
      </c>
      <c r="F570" s="30" t="s">
        <v>344</v>
      </c>
      <c r="G570" s="30" t="s">
        <v>657</v>
      </c>
      <c r="H570" s="30">
        <v>966577</v>
      </c>
      <c r="I570" s="30"/>
      <c r="J570" s="30" t="s">
        <v>182</v>
      </c>
      <c r="K570" s="64">
        <v>207</v>
      </c>
      <c r="L570" s="143"/>
      <c r="M570" s="64">
        <f t="shared" si="51"/>
        <v>207</v>
      </c>
      <c r="N570" s="54">
        <f t="shared" si="52"/>
        <v>0</v>
      </c>
    </row>
    <row r="571" spans="1:14" hidden="1">
      <c r="A571" s="30" t="s">
        <v>451</v>
      </c>
      <c r="B571" s="30" t="s">
        <v>345</v>
      </c>
      <c r="C571" s="73">
        <v>45427</v>
      </c>
      <c r="D571" s="30">
        <v>1238</v>
      </c>
      <c r="E571" s="30" t="s">
        <v>346</v>
      </c>
      <c r="F571" s="30" t="s">
        <v>344</v>
      </c>
      <c r="G571" s="30" t="s">
        <v>659</v>
      </c>
      <c r="H571" s="30">
        <v>969685</v>
      </c>
      <c r="I571" s="30"/>
      <c r="J571" s="30" t="s">
        <v>181</v>
      </c>
      <c r="K571" s="64">
        <v>613</v>
      </c>
      <c r="L571" s="143"/>
      <c r="M571" s="64">
        <f t="shared" ref="M571:M572" si="53">K571-L571</f>
        <v>613</v>
      </c>
      <c r="N571" s="54">
        <f t="shared" ref="N571:N572" si="54">L571/K571</f>
        <v>0</v>
      </c>
    </row>
    <row r="572" spans="1:14" hidden="1">
      <c r="A572" s="30" t="s">
        <v>451</v>
      </c>
      <c r="B572" s="30" t="s">
        <v>345</v>
      </c>
      <c r="C572" s="73">
        <v>45427</v>
      </c>
      <c r="D572" s="30">
        <v>1238</v>
      </c>
      <c r="E572" s="30" t="s">
        <v>346</v>
      </c>
      <c r="F572" s="30" t="s">
        <v>344</v>
      </c>
      <c r="G572" s="30" t="s">
        <v>659</v>
      </c>
      <c r="H572" s="30">
        <v>969685</v>
      </c>
      <c r="I572" s="30"/>
      <c r="J572" s="30" t="s">
        <v>182</v>
      </c>
      <c r="K572" s="64">
        <v>100</v>
      </c>
      <c r="L572" s="143"/>
      <c r="M572" s="64">
        <f t="shared" si="53"/>
        <v>100</v>
      </c>
      <c r="N572" s="54">
        <f t="shared" si="54"/>
        <v>0</v>
      </c>
    </row>
    <row r="573" spans="1:14" hidden="1">
      <c r="A573" s="30" t="s">
        <v>662</v>
      </c>
      <c r="B573" s="30" t="s">
        <v>390</v>
      </c>
      <c r="C573" s="73">
        <v>45436</v>
      </c>
      <c r="D573" s="30">
        <v>1275</v>
      </c>
      <c r="E573" s="30" t="s">
        <v>408</v>
      </c>
      <c r="F573" s="30" t="s">
        <v>377</v>
      </c>
      <c r="G573" s="30" t="s">
        <v>663</v>
      </c>
      <c r="H573" s="30">
        <v>955149</v>
      </c>
      <c r="I573" s="30"/>
      <c r="J573" s="30" t="s">
        <v>181</v>
      </c>
      <c r="K573" s="213">
        <v>0.04</v>
      </c>
      <c r="L573" s="143"/>
      <c r="M573" s="213">
        <f>K573-(L573+L574)</f>
        <v>0.04</v>
      </c>
      <c r="N573" s="217">
        <f>(L573+L574)/K573</f>
        <v>0</v>
      </c>
    </row>
    <row r="574" spans="1:14" hidden="1">
      <c r="A574" s="30" t="s">
        <v>662</v>
      </c>
      <c r="B574" s="30" t="s">
        <v>390</v>
      </c>
      <c r="C574" s="73">
        <v>45436</v>
      </c>
      <c r="D574" s="30">
        <v>1275</v>
      </c>
      <c r="E574" s="30" t="s">
        <v>408</v>
      </c>
      <c r="F574" s="30" t="s">
        <v>377</v>
      </c>
      <c r="G574" s="30" t="s">
        <v>664</v>
      </c>
      <c r="H574" s="30">
        <v>5951</v>
      </c>
      <c r="I574" s="30"/>
      <c r="J574" s="30" t="s">
        <v>181</v>
      </c>
      <c r="K574" s="215"/>
      <c r="L574" s="143"/>
      <c r="M574" s="215"/>
      <c r="N574" s="217"/>
    </row>
    <row r="575" spans="1:14" hidden="1">
      <c r="A575" s="30" t="s">
        <v>662</v>
      </c>
      <c r="B575" s="30" t="s">
        <v>390</v>
      </c>
      <c r="C575" s="73">
        <v>45436</v>
      </c>
      <c r="D575" s="30">
        <v>1275</v>
      </c>
      <c r="E575" s="30" t="s">
        <v>408</v>
      </c>
      <c r="F575" s="30" t="s">
        <v>377</v>
      </c>
      <c r="G575" s="30" t="s">
        <v>663</v>
      </c>
      <c r="H575" s="30">
        <v>955149</v>
      </c>
      <c r="I575" s="30"/>
      <c r="J575" s="30" t="s">
        <v>182</v>
      </c>
      <c r="K575" s="213">
        <v>0.15</v>
      </c>
      <c r="L575" s="143"/>
      <c r="M575" s="213">
        <f>K575-(L575+L576)</f>
        <v>0.15</v>
      </c>
      <c r="N575" s="217">
        <f>(L575+L576)/K575</f>
        <v>0</v>
      </c>
    </row>
    <row r="576" spans="1:14" hidden="1">
      <c r="A576" s="30" t="s">
        <v>662</v>
      </c>
      <c r="B576" s="30" t="s">
        <v>390</v>
      </c>
      <c r="C576" s="73">
        <v>45436</v>
      </c>
      <c r="D576" s="30">
        <v>1275</v>
      </c>
      <c r="E576" s="30" t="s">
        <v>408</v>
      </c>
      <c r="F576" s="30" t="s">
        <v>377</v>
      </c>
      <c r="G576" s="30" t="s">
        <v>664</v>
      </c>
      <c r="H576" s="30">
        <v>5951</v>
      </c>
      <c r="I576" s="30"/>
      <c r="J576" s="30" t="s">
        <v>182</v>
      </c>
      <c r="K576" s="215"/>
      <c r="L576" s="143"/>
      <c r="M576" s="215"/>
      <c r="N576" s="217"/>
    </row>
    <row r="577" spans="1:14">
      <c r="A577" s="30" t="s">
        <v>665</v>
      </c>
      <c r="B577" s="30" t="s">
        <v>390</v>
      </c>
      <c r="C577" s="73">
        <v>45440</v>
      </c>
      <c r="D577" s="30">
        <v>1313</v>
      </c>
      <c r="E577" s="30" t="s">
        <v>346</v>
      </c>
      <c r="F577" s="30" t="s">
        <v>344</v>
      </c>
      <c r="G577" s="30" t="s">
        <v>567</v>
      </c>
      <c r="H577" s="30">
        <v>698125</v>
      </c>
      <c r="I577" s="30"/>
      <c r="J577" s="30" t="s">
        <v>181</v>
      </c>
      <c r="K577" s="213">
        <v>500.48899999999998</v>
      </c>
      <c r="L577" s="143"/>
      <c r="M577" s="213">
        <f>K577-(SUM(L577:L589))</f>
        <v>500.48899999999998</v>
      </c>
      <c r="N577" s="219">
        <f>(SUM(L577:L589))/K577</f>
        <v>0</v>
      </c>
    </row>
    <row r="578" spans="1:14">
      <c r="A578" s="30" t="s">
        <v>665</v>
      </c>
      <c r="B578" s="30" t="s">
        <v>390</v>
      </c>
      <c r="C578" s="73">
        <v>45440</v>
      </c>
      <c r="D578" s="30">
        <v>1313</v>
      </c>
      <c r="E578" s="30" t="s">
        <v>346</v>
      </c>
      <c r="F578" s="30" t="s">
        <v>344</v>
      </c>
      <c r="G578" s="30" t="s">
        <v>575</v>
      </c>
      <c r="H578" s="30">
        <v>701636</v>
      </c>
      <c r="I578" s="30"/>
      <c r="J578" s="30" t="s">
        <v>181</v>
      </c>
      <c r="K578" s="214"/>
      <c r="L578" s="143"/>
      <c r="M578" s="214"/>
      <c r="N578" s="220"/>
    </row>
    <row r="579" spans="1:14">
      <c r="A579" s="30" t="s">
        <v>665</v>
      </c>
      <c r="B579" s="30" t="s">
        <v>390</v>
      </c>
      <c r="C579" s="73">
        <v>45440</v>
      </c>
      <c r="D579" s="30">
        <v>1313</v>
      </c>
      <c r="E579" s="30" t="s">
        <v>346</v>
      </c>
      <c r="F579" s="30" t="s">
        <v>344</v>
      </c>
      <c r="G579" s="30" t="s">
        <v>573</v>
      </c>
      <c r="H579" s="30">
        <v>968797</v>
      </c>
      <c r="I579" s="30"/>
      <c r="J579" s="30" t="s">
        <v>181</v>
      </c>
      <c r="K579" s="214"/>
      <c r="L579" s="143"/>
      <c r="M579" s="214"/>
      <c r="N579" s="220"/>
    </row>
    <row r="580" spans="1:14">
      <c r="A580" s="30" t="s">
        <v>665</v>
      </c>
      <c r="B580" s="30" t="s">
        <v>390</v>
      </c>
      <c r="C580" s="73">
        <v>45440</v>
      </c>
      <c r="D580" s="30">
        <v>1313</v>
      </c>
      <c r="E580" s="30" t="s">
        <v>346</v>
      </c>
      <c r="F580" s="30" t="s">
        <v>344</v>
      </c>
      <c r="G580" s="30" t="s">
        <v>483</v>
      </c>
      <c r="H580" s="30">
        <v>968981</v>
      </c>
      <c r="I580" s="30"/>
      <c r="J580" s="30" t="s">
        <v>181</v>
      </c>
      <c r="K580" s="214"/>
      <c r="L580" s="143"/>
      <c r="M580" s="214"/>
      <c r="N580" s="220"/>
    </row>
    <row r="581" spans="1:14">
      <c r="A581" s="30" t="s">
        <v>665</v>
      </c>
      <c r="B581" s="30" t="s">
        <v>390</v>
      </c>
      <c r="C581" s="73">
        <v>45440</v>
      </c>
      <c r="D581" s="30">
        <v>1313</v>
      </c>
      <c r="E581" s="30" t="s">
        <v>346</v>
      </c>
      <c r="F581" s="30" t="s">
        <v>344</v>
      </c>
      <c r="G581" s="30" t="s">
        <v>482</v>
      </c>
      <c r="H581" s="30">
        <v>965073</v>
      </c>
      <c r="I581" s="30"/>
      <c r="J581" s="30" t="s">
        <v>181</v>
      </c>
      <c r="K581" s="214"/>
      <c r="L581" s="143"/>
      <c r="M581" s="214"/>
      <c r="N581" s="220"/>
    </row>
    <row r="582" spans="1:14">
      <c r="A582" s="30" t="s">
        <v>665</v>
      </c>
      <c r="B582" s="30" t="s">
        <v>390</v>
      </c>
      <c r="C582" s="73">
        <v>45440</v>
      </c>
      <c r="D582" s="30">
        <v>1313</v>
      </c>
      <c r="E582" s="30" t="s">
        <v>346</v>
      </c>
      <c r="F582" s="30" t="s">
        <v>344</v>
      </c>
      <c r="G582" s="30" t="s">
        <v>570</v>
      </c>
      <c r="H582" s="30">
        <v>700117</v>
      </c>
      <c r="I582" s="30"/>
      <c r="J582" s="30" t="s">
        <v>181</v>
      </c>
      <c r="K582" s="214"/>
      <c r="L582" s="143"/>
      <c r="M582" s="214"/>
      <c r="N582" s="220"/>
    </row>
    <row r="583" spans="1:14">
      <c r="A583" s="30" t="s">
        <v>665</v>
      </c>
      <c r="B583" s="30" t="s">
        <v>390</v>
      </c>
      <c r="C583" s="73">
        <v>45440</v>
      </c>
      <c r="D583" s="30">
        <v>1313</v>
      </c>
      <c r="E583" s="30" t="s">
        <v>346</v>
      </c>
      <c r="F583" s="30" t="s">
        <v>344</v>
      </c>
      <c r="G583" s="30" t="s">
        <v>571</v>
      </c>
      <c r="H583" s="30">
        <v>968524</v>
      </c>
      <c r="I583" s="30"/>
      <c r="J583" s="30" t="s">
        <v>181</v>
      </c>
      <c r="K583" s="214"/>
      <c r="L583" s="143"/>
      <c r="M583" s="214"/>
      <c r="N583" s="220"/>
    </row>
    <row r="584" spans="1:14">
      <c r="A584" s="30" t="s">
        <v>665</v>
      </c>
      <c r="B584" s="30" t="s">
        <v>390</v>
      </c>
      <c r="C584" s="73">
        <v>45440</v>
      </c>
      <c r="D584" s="30">
        <v>1313</v>
      </c>
      <c r="E584" s="30" t="s">
        <v>346</v>
      </c>
      <c r="F584" s="30" t="s">
        <v>344</v>
      </c>
      <c r="G584" s="30" t="s">
        <v>569</v>
      </c>
      <c r="H584" s="30">
        <v>968804</v>
      </c>
      <c r="I584" s="30"/>
      <c r="J584" s="30" t="s">
        <v>181</v>
      </c>
      <c r="K584" s="214"/>
      <c r="L584" s="143"/>
      <c r="M584" s="214"/>
      <c r="N584" s="220"/>
    </row>
    <row r="585" spans="1:14">
      <c r="A585" s="30" t="s">
        <v>665</v>
      </c>
      <c r="B585" s="30" t="s">
        <v>390</v>
      </c>
      <c r="C585" s="73">
        <v>45440</v>
      </c>
      <c r="D585" s="30">
        <v>1313</v>
      </c>
      <c r="E585" s="30" t="s">
        <v>346</v>
      </c>
      <c r="F585" s="30" t="s">
        <v>344</v>
      </c>
      <c r="G585" s="30" t="s">
        <v>574</v>
      </c>
      <c r="H585" s="30">
        <v>701681</v>
      </c>
      <c r="I585" s="30"/>
      <c r="J585" s="30" t="s">
        <v>181</v>
      </c>
      <c r="K585" s="214"/>
      <c r="L585" s="143"/>
      <c r="M585" s="214"/>
      <c r="N585" s="220"/>
    </row>
    <row r="586" spans="1:14">
      <c r="A586" s="30" t="s">
        <v>665</v>
      </c>
      <c r="B586" s="30" t="s">
        <v>390</v>
      </c>
      <c r="C586" s="73">
        <v>45440</v>
      </c>
      <c r="D586" s="30">
        <v>1313</v>
      </c>
      <c r="E586" s="30" t="s">
        <v>346</v>
      </c>
      <c r="F586" s="30" t="s">
        <v>344</v>
      </c>
      <c r="G586" s="30" t="s">
        <v>566</v>
      </c>
      <c r="H586" s="30">
        <v>698895</v>
      </c>
      <c r="I586" s="30"/>
      <c r="J586" s="30" t="s">
        <v>181</v>
      </c>
      <c r="K586" s="214"/>
      <c r="L586" s="143"/>
      <c r="M586" s="214"/>
      <c r="N586" s="220"/>
    </row>
    <row r="587" spans="1:14">
      <c r="A587" s="30" t="s">
        <v>665</v>
      </c>
      <c r="B587" s="30" t="s">
        <v>390</v>
      </c>
      <c r="C587" s="73">
        <v>45440</v>
      </c>
      <c r="D587" s="30">
        <v>1313</v>
      </c>
      <c r="E587" s="30" t="s">
        <v>346</v>
      </c>
      <c r="F587" s="30" t="s">
        <v>344</v>
      </c>
      <c r="G587" s="30" t="s">
        <v>568</v>
      </c>
      <c r="H587" s="30">
        <v>701488</v>
      </c>
      <c r="I587" s="30"/>
      <c r="J587" s="30" t="s">
        <v>181</v>
      </c>
      <c r="K587" s="214"/>
      <c r="L587" s="143"/>
      <c r="M587" s="214"/>
      <c r="N587" s="220"/>
    </row>
    <row r="588" spans="1:14">
      <c r="A588" s="30" t="s">
        <v>665</v>
      </c>
      <c r="B588" s="30" t="s">
        <v>390</v>
      </c>
      <c r="C588" s="73">
        <v>45440</v>
      </c>
      <c r="D588" s="30">
        <v>1313</v>
      </c>
      <c r="E588" s="30" t="s">
        <v>346</v>
      </c>
      <c r="F588" s="30" t="s">
        <v>344</v>
      </c>
      <c r="G588" s="30" t="s">
        <v>572</v>
      </c>
      <c r="H588" s="30">
        <v>698086</v>
      </c>
      <c r="I588" s="30"/>
      <c r="J588" s="30" t="s">
        <v>181</v>
      </c>
      <c r="K588" s="214"/>
      <c r="L588" s="143"/>
      <c r="M588" s="214"/>
      <c r="N588" s="220"/>
    </row>
    <row r="589" spans="1:14">
      <c r="A589" s="30" t="s">
        <v>665</v>
      </c>
      <c r="B589" s="30" t="s">
        <v>390</v>
      </c>
      <c r="C589" s="73">
        <v>45440</v>
      </c>
      <c r="D589" s="30">
        <v>1313</v>
      </c>
      <c r="E589" s="30" t="s">
        <v>346</v>
      </c>
      <c r="F589" s="30" t="s">
        <v>344</v>
      </c>
      <c r="G589" s="30" t="s">
        <v>666</v>
      </c>
      <c r="H589" s="30">
        <v>701901</v>
      </c>
      <c r="I589" s="30"/>
      <c r="J589" s="30" t="s">
        <v>181</v>
      </c>
      <c r="K589" s="215"/>
      <c r="L589" s="143"/>
      <c r="M589" s="215"/>
      <c r="N589" s="221"/>
    </row>
    <row r="590" spans="1:14">
      <c r="A590" s="30" t="s">
        <v>665</v>
      </c>
      <c r="B590" s="30" t="s">
        <v>390</v>
      </c>
      <c r="C590" s="73">
        <v>45440</v>
      </c>
      <c r="D590" s="30">
        <v>1313</v>
      </c>
      <c r="E590" s="30" t="s">
        <v>346</v>
      </c>
      <c r="F590" s="30" t="s">
        <v>344</v>
      </c>
      <c r="G590" s="30" t="s">
        <v>567</v>
      </c>
      <c r="H590" s="30">
        <v>698125</v>
      </c>
      <c r="I590" s="30"/>
      <c r="J590" s="30" t="s">
        <v>182</v>
      </c>
      <c r="K590" s="213">
        <v>3499.6379999999999</v>
      </c>
      <c r="L590" s="143"/>
      <c r="M590" s="213">
        <f>K590-(SUM(L590:L602))</f>
        <v>3499.6379999999999</v>
      </c>
      <c r="N590" s="219">
        <f>(SUM(L590:L602))/K590</f>
        <v>0</v>
      </c>
    </row>
    <row r="591" spans="1:14">
      <c r="A591" s="30" t="s">
        <v>665</v>
      </c>
      <c r="B591" s="30" t="s">
        <v>390</v>
      </c>
      <c r="C591" s="73">
        <v>45440</v>
      </c>
      <c r="D591" s="30">
        <v>1313</v>
      </c>
      <c r="E591" s="30" t="s">
        <v>346</v>
      </c>
      <c r="F591" s="30" t="s">
        <v>344</v>
      </c>
      <c r="G591" s="30" t="s">
        <v>575</v>
      </c>
      <c r="H591" s="30">
        <v>701636</v>
      </c>
      <c r="I591" s="30"/>
      <c r="J591" s="30" t="s">
        <v>182</v>
      </c>
      <c r="K591" s="214"/>
      <c r="L591" s="143"/>
      <c r="M591" s="214"/>
      <c r="N591" s="220"/>
    </row>
    <row r="592" spans="1:14">
      <c r="A592" s="30" t="s">
        <v>665</v>
      </c>
      <c r="B592" s="30" t="s">
        <v>390</v>
      </c>
      <c r="C592" s="73">
        <v>45440</v>
      </c>
      <c r="D592" s="30">
        <v>1313</v>
      </c>
      <c r="E592" s="30" t="s">
        <v>346</v>
      </c>
      <c r="F592" s="30" t="s">
        <v>344</v>
      </c>
      <c r="G592" s="30" t="s">
        <v>573</v>
      </c>
      <c r="H592" s="30">
        <v>968797</v>
      </c>
      <c r="I592" s="30"/>
      <c r="J592" s="30" t="s">
        <v>182</v>
      </c>
      <c r="K592" s="214"/>
      <c r="L592" s="143"/>
      <c r="M592" s="214"/>
      <c r="N592" s="220"/>
    </row>
    <row r="593" spans="1:14">
      <c r="A593" s="30" t="s">
        <v>665</v>
      </c>
      <c r="B593" s="30" t="s">
        <v>390</v>
      </c>
      <c r="C593" s="73">
        <v>45440</v>
      </c>
      <c r="D593" s="30">
        <v>1313</v>
      </c>
      <c r="E593" s="30" t="s">
        <v>346</v>
      </c>
      <c r="F593" s="30" t="s">
        <v>344</v>
      </c>
      <c r="G593" s="30" t="s">
        <v>483</v>
      </c>
      <c r="H593" s="30">
        <v>968981</v>
      </c>
      <c r="I593" s="30"/>
      <c r="J593" s="30" t="s">
        <v>182</v>
      </c>
      <c r="K593" s="214"/>
      <c r="L593" s="143"/>
      <c r="M593" s="214"/>
      <c r="N593" s="220"/>
    </row>
    <row r="594" spans="1:14">
      <c r="A594" s="30" t="s">
        <v>665</v>
      </c>
      <c r="B594" s="30" t="s">
        <v>390</v>
      </c>
      <c r="C594" s="73">
        <v>45440</v>
      </c>
      <c r="D594" s="30">
        <v>1313</v>
      </c>
      <c r="E594" s="30" t="s">
        <v>346</v>
      </c>
      <c r="F594" s="30" t="s">
        <v>344</v>
      </c>
      <c r="G594" s="30" t="s">
        <v>482</v>
      </c>
      <c r="H594" s="30">
        <v>965073</v>
      </c>
      <c r="I594" s="30"/>
      <c r="J594" s="30" t="s">
        <v>182</v>
      </c>
      <c r="K594" s="214"/>
      <c r="L594" s="143"/>
      <c r="M594" s="214"/>
      <c r="N594" s="220"/>
    </row>
    <row r="595" spans="1:14">
      <c r="A595" s="30" t="s">
        <v>665</v>
      </c>
      <c r="B595" s="30" t="s">
        <v>390</v>
      </c>
      <c r="C595" s="73">
        <v>45440</v>
      </c>
      <c r="D595" s="30">
        <v>1313</v>
      </c>
      <c r="E595" s="30" t="s">
        <v>346</v>
      </c>
      <c r="F595" s="30" t="s">
        <v>344</v>
      </c>
      <c r="G595" s="30" t="s">
        <v>570</v>
      </c>
      <c r="H595" s="30">
        <v>700117</v>
      </c>
      <c r="I595" s="30"/>
      <c r="J595" s="30" t="s">
        <v>182</v>
      </c>
      <c r="K595" s="214"/>
      <c r="L595" s="143"/>
      <c r="M595" s="214"/>
      <c r="N595" s="220"/>
    </row>
    <row r="596" spans="1:14">
      <c r="A596" s="30" t="s">
        <v>665</v>
      </c>
      <c r="B596" s="30" t="s">
        <v>390</v>
      </c>
      <c r="C596" s="73">
        <v>45440</v>
      </c>
      <c r="D596" s="30">
        <v>1313</v>
      </c>
      <c r="E596" s="30" t="s">
        <v>346</v>
      </c>
      <c r="F596" s="30" t="s">
        <v>344</v>
      </c>
      <c r="G596" s="30" t="s">
        <v>571</v>
      </c>
      <c r="H596" s="30">
        <v>968524</v>
      </c>
      <c r="I596" s="30"/>
      <c r="J596" s="30" t="s">
        <v>182</v>
      </c>
      <c r="K596" s="214"/>
      <c r="L596" s="143"/>
      <c r="M596" s="214"/>
      <c r="N596" s="220"/>
    </row>
    <row r="597" spans="1:14">
      <c r="A597" s="30" t="s">
        <v>665</v>
      </c>
      <c r="B597" s="30" t="s">
        <v>390</v>
      </c>
      <c r="C597" s="73">
        <v>45440</v>
      </c>
      <c r="D597" s="30">
        <v>1313</v>
      </c>
      <c r="E597" s="30" t="s">
        <v>346</v>
      </c>
      <c r="F597" s="30" t="s">
        <v>344</v>
      </c>
      <c r="G597" s="30" t="s">
        <v>569</v>
      </c>
      <c r="H597" s="30">
        <v>968804</v>
      </c>
      <c r="I597" s="30"/>
      <c r="J597" s="30" t="s">
        <v>182</v>
      </c>
      <c r="K597" s="214"/>
      <c r="L597" s="143"/>
      <c r="M597" s="214"/>
      <c r="N597" s="220"/>
    </row>
    <row r="598" spans="1:14">
      <c r="A598" s="30" t="s">
        <v>665</v>
      </c>
      <c r="B598" s="30" t="s">
        <v>390</v>
      </c>
      <c r="C598" s="73">
        <v>45440</v>
      </c>
      <c r="D598" s="30">
        <v>1313</v>
      </c>
      <c r="E598" s="30" t="s">
        <v>346</v>
      </c>
      <c r="F598" s="30" t="s">
        <v>344</v>
      </c>
      <c r="G598" s="30" t="s">
        <v>574</v>
      </c>
      <c r="H598" s="30">
        <v>701681</v>
      </c>
      <c r="I598" s="30"/>
      <c r="J598" s="30" t="s">
        <v>182</v>
      </c>
      <c r="K598" s="214"/>
      <c r="L598" s="143"/>
      <c r="M598" s="214"/>
      <c r="N598" s="220"/>
    </row>
    <row r="599" spans="1:14">
      <c r="A599" s="30" t="s">
        <v>665</v>
      </c>
      <c r="B599" s="30" t="s">
        <v>390</v>
      </c>
      <c r="C599" s="73">
        <v>45440</v>
      </c>
      <c r="D599" s="30">
        <v>1313</v>
      </c>
      <c r="E599" s="30" t="s">
        <v>346</v>
      </c>
      <c r="F599" s="30" t="s">
        <v>344</v>
      </c>
      <c r="G599" s="30" t="s">
        <v>566</v>
      </c>
      <c r="H599" s="30">
        <v>698895</v>
      </c>
      <c r="I599" s="30"/>
      <c r="J599" s="30" t="s">
        <v>182</v>
      </c>
      <c r="K599" s="214"/>
      <c r="L599" s="143"/>
      <c r="M599" s="214"/>
      <c r="N599" s="220"/>
    </row>
    <row r="600" spans="1:14">
      <c r="A600" s="30" t="s">
        <v>665</v>
      </c>
      <c r="B600" s="30" t="s">
        <v>390</v>
      </c>
      <c r="C600" s="73">
        <v>45440</v>
      </c>
      <c r="D600" s="30">
        <v>1313</v>
      </c>
      <c r="E600" s="30" t="s">
        <v>346</v>
      </c>
      <c r="F600" s="30" t="s">
        <v>344</v>
      </c>
      <c r="G600" s="30" t="s">
        <v>568</v>
      </c>
      <c r="H600" s="30">
        <v>701488</v>
      </c>
      <c r="I600" s="30"/>
      <c r="J600" s="30" t="s">
        <v>182</v>
      </c>
      <c r="K600" s="214"/>
      <c r="L600" s="143"/>
      <c r="M600" s="214"/>
      <c r="N600" s="220"/>
    </row>
    <row r="601" spans="1:14">
      <c r="A601" s="30" t="s">
        <v>665</v>
      </c>
      <c r="B601" s="30" t="s">
        <v>390</v>
      </c>
      <c r="C601" s="73">
        <v>45440</v>
      </c>
      <c r="D601" s="30">
        <v>1313</v>
      </c>
      <c r="E601" s="30" t="s">
        <v>346</v>
      </c>
      <c r="F601" s="30" t="s">
        <v>344</v>
      </c>
      <c r="G601" s="30" t="s">
        <v>572</v>
      </c>
      <c r="H601" s="30">
        <v>698086</v>
      </c>
      <c r="I601" s="30"/>
      <c r="J601" s="30" t="s">
        <v>182</v>
      </c>
      <c r="K601" s="214"/>
      <c r="L601" s="143"/>
      <c r="M601" s="214"/>
      <c r="N601" s="220"/>
    </row>
    <row r="602" spans="1:14">
      <c r="A602" s="30" t="s">
        <v>665</v>
      </c>
      <c r="B602" s="30" t="s">
        <v>390</v>
      </c>
      <c r="C602" s="73">
        <v>45440</v>
      </c>
      <c r="D602" s="30">
        <v>1313</v>
      </c>
      <c r="E602" s="30" t="s">
        <v>346</v>
      </c>
      <c r="F602" s="30" t="s">
        <v>344</v>
      </c>
      <c r="G602" s="30" t="s">
        <v>666</v>
      </c>
      <c r="H602" s="30">
        <v>701901</v>
      </c>
      <c r="I602" s="30"/>
      <c r="J602" s="30" t="s">
        <v>182</v>
      </c>
      <c r="K602" s="215"/>
      <c r="L602" s="143"/>
      <c r="M602" s="215"/>
      <c r="N602" s="221"/>
    </row>
    <row r="603" spans="1:14" hidden="1">
      <c r="A603" s="30" t="s">
        <v>667</v>
      </c>
      <c r="B603" s="30" t="s">
        <v>345</v>
      </c>
      <c r="C603" s="73">
        <v>45441</v>
      </c>
      <c r="D603" s="30">
        <v>1325</v>
      </c>
      <c r="E603" s="30" t="s">
        <v>346</v>
      </c>
      <c r="F603" s="30" t="s">
        <v>344</v>
      </c>
      <c r="G603" s="30" t="s">
        <v>668</v>
      </c>
      <c r="H603" s="30">
        <v>963197</v>
      </c>
      <c r="I603" s="30"/>
      <c r="J603" s="30" t="s">
        <v>181</v>
      </c>
      <c r="K603" s="64">
        <v>238.61199999999999</v>
      </c>
      <c r="L603" s="143"/>
      <c r="M603" s="64">
        <f t="shared" ref="M603" si="55">K603-L603</f>
        <v>238.61199999999999</v>
      </c>
      <c r="N603" s="54">
        <f t="shared" ref="N603" si="56">L603/K603</f>
        <v>0</v>
      </c>
    </row>
    <row r="604" spans="1:14" hidden="1">
      <c r="A604" s="30" t="s">
        <v>669</v>
      </c>
      <c r="B604" s="30" t="s">
        <v>390</v>
      </c>
      <c r="C604" s="73">
        <v>45446</v>
      </c>
      <c r="D604" s="30">
        <v>1358</v>
      </c>
      <c r="E604" s="30" t="s">
        <v>346</v>
      </c>
      <c r="F604" s="30" t="s">
        <v>344</v>
      </c>
      <c r="G604" s="30" t="s">
        <v>670</v>
      </c>
      <c r="H604" s="30">
        <v>700814</v>
      </c>
      <c r="I604" s="30"/>
      <c r="J604" s="30" t="s">
        <v>181</v>
      </c>
      <c r="K604" s="213">
        <v>280</v>
      </c>
      <c r="L604" s="143"/>
      <c r="M604" s="216">
        <f>K604-(L604+L605+L606+L607)</f>
        <v>280</v>
      </c>
      <c r="N604" s="217">
        <f>(L604+L605+L606+L607)/K604</f>
        <v>0</v>
      </c>
    </row>
    <row r="605" spans="1:14" hidden="1">
      <c r="A605" s="30" t="s">
        <v>669</v>
      </c>
      <c r="B605" s="30" t="s">
        <v>390</v>
      </c>
      <c r="C605" s="73">
        <v>45446</v>
      </c>
      <c r="D605" s="30">
        <v>1358</v>
      </c>
      <c r="E605" s="30" t="s">
        <v>346</v>
      </c>
      <c r="F605" s="30" t="s">
        <v>344</v>
      </c>
      <c r="G605" s="30" t="s">
        <v>671</v>
      </c>
      <c r="H605" s="30">
        <v>701731</v>
      </c>
      <c r="I605" s="30"/>
      <c r="J605" s="30" t="s">
        <v>181</v>
      </c>
      <c r="K605" s="214"/>
      <c r="L605" s="143"/>
      <c r="M605" s="216"/>
      <c r="N605" s="217"/>
    </row>
    <row r="606" spans="1:14" hidden="1">
      <c r="A606" s="30" t="s">
        <v>669</v>
      </c>
      <c r="B606" s="30" t="s">
        <v>390</v>
      </c>
      <c r="C606" s="73">
        <v>45446</v>
      </c>
      <c r="D606" s="30">
        <v>1358</v>
      </c>
      <c r="E606" s="30" t="s">
        <v>346</v>
      </c>
      <c r="F606" s="30" t="s">
        <v>344</v>
      </c>
      <c r="G606" s="30" t="s">
        <v>672</v>
      </c>
      <c r="H606" s="30">
        <v>969257</v>
      </c>
      <c r="I606" s="30"/>
      <c r="J606" s="30" t="s">
        <v>181</v>
      </c>
      <c r="K606" s="214"/>
      <c r="L606" s="143"/>
      <c r="M606" s="216"/>
      <c r="N606" s="217"/>
    </row>
    <row r="607" spans="1:14" hidden="1">
      <c r="A607" s="30" t="s">
        <v>669</v>
      </c>
      <c r="B607" s="30" t="s">
        <v>390</v>
      </c>
      <c r="C607" s="73">
        <v>45446</v>
      </c>
      <c r="D607" s="30">
        <v>1358</v>
      </c>
      <c r="E607" s="30" t="s">
        <v>346</v>
      </c>
      <c r="F607" s="30" t="s">
        <v>344</v>
      </c>
      <c r="G607" s="30" t="s">
        <v>673</v>
      </c>
      <c r="H607" s="30">
        <v>701978</v>
      </c>
      <c r="I607" s="30"/>
      <c r="J607" s="30" t="s">
        <v>181</v>
      </c>
      <c r="K607" s="215"/>
      <c r="L607" s="143"/>
      <c r="M607" s="216"/>
      <c r="N607" s="217"/>
    </row>
    <row r="608" spans="1:14" hidden="1">
      <c r="A608" s="30" t="s">
        <v>669</v>
      </c>
      <c r="B608" s="30" t="s">
        <v>390</v>
      </c>
      <c r="C608" s="73">
        <v>45446</v>
      </c>
      <c r="D608" s="30">
        <v>1358</v>
      </c>
      <c r="E608" s="30" t="s">
        <v>346</v>
      </c>
      <c r="F608" s="30" t="s">
        <v>344</v>
      </c>
      <c r="G608" s="30" t="s">
        <v>670</v>
      </c>
      <c r="H608" s="30">
        <v>700814</v>
      </c>
      <c r="I608" s="30"/>
      <c r="J608" s="30" t="s">
        <v>182</v>
      </c>
      <c r="K608" s="213">
        <v>470</v>
      </c>
      <c r="L608" s="143"/>
      <c r="M608" s="216">
        <f>K608-(L608+L609+L610+L611)</f>
        <v>470</v>
      </c>
      <c r="N608" s="217">
        <f>(L608+L609+L610+L611)/K608</f>
        <v>0</v>
      </c>
    </row>
    <row r="609" spans="1:14" hidden="1">
      <c r="A609" s="30" t="s">
        <v>669</v>
      </c>
      <c r="B609" s="30" t="s">
        <v>390</v>
      </c>
      <c r="C609" s="73">
        <v>45446</v>
      </c>
      <c r="D609" s="30">
        <v>1358</v>
      </c>
      <c r="E609" s="30" t="s">
        <v>346</v>
      </c>
      <c r="F609" s="30" t="s">
        <v>344</v>
      </c>
      <c r="G609" s="30" t="s">
        <v>671</v>
      </c>
      <c r="H609" s="30">
        <v>701731</v>
      </c>
      <c r="I609" s="30"/>
      <c r="J609" s="30" t="s">
        <v>182</v>
      </c>
      <c r="K609" s="214"/>
      <c r="L609" s="143"/>
      <c r="M609" s="216"/>
      <c r="N609" s="217"/>
    </row>
    <row r="610" spans="1:14" hidden="1">
      <c r="A610" s="30" t="s">
        <v>669</v>
      </c>
      <c r="B610" s="30" t="s">
        <v>390</v>
      </c>
      <c r="C610" s="73">
        <v>45446</v>
      </c>
      <c r="D610" s="30">
        <v>1358</v>
      </c>
      <c r="E610" s="30" t="s">
        <v>346</v>
      </c>
      <c r="F610" s="30" t="s">
        <v>344</v>
      </c>
      <c r="G610" s="30" t="s">
        <v>672</v>
      </c>
      <c r="H610" s="30">
        <v>969257</v>
      </c>
      <c r="I610" s="30"/>
      <c r="J610" s="30" t="s">
        <v>182</v>
      </c>
      <c r="K610" s="214"/>
      <c r="L610" s="143"/>
      <c r="M610" s="216"/>
      <c r="N610" s="217"/>
    </row>
    <row r="611" spans="1:14" hidden="1">
      <c r="A611" s="30" t="s">
        <v>669</v>
      </c>
      <c r="B611" s="30" t="s">
        <v>390</v>
      </c>
      <c r="C611" s="73">
        <v>45446</v>
      </c>
      <c r="D611" s="30">
        <v>1358</v>
      </c>
      <c r="E611" s="30" t="s">
        <v>346</v>
      </c>
      <c r="F611" s="30" t="s">
        <v>344</v>
      </c>
      <c r="G611" s="30" t="s">
        <v>673</v>
      </c>
      <c r="H611" s="30">
        <v>701978</v>
      </c>
      <c r="I611" s="30"/>
      <c r="J611" s="30" t="s">
        <v>182</v>
      </c>
      <c r="K611" s="215"/>
      <c r="L611" s="143"/>
      <c r="M611" s="216"/>
      <c r="N611" s="217"/>
    </row>
    <row r="612" spans="1:14" hidden="1">
      <c r="A612" s="30" t="s">
        <v>669</v>
      </c>
      <c r="B612" s="30" t="s">
        <v>390</v>
      </c>
      <c r="C612" s="73">
        <v>45446</v>
      </c>
      <c r="D612" s="30">
        <v>1358</v>
      </c>
      <c r="E612" s="30" t="s">
        <v>346</v>
      </c>
      <c r="F612" s="30" t="s">
        <v>344</v>
      </c>
      <c r="G612" s="30" t="s">
        <v>384</v>
      </c>
      <c r="H612" s="30">
        <v>700014</v>
      </c>
      <c r="I612" s="30"/>
      <c r="J612" s="30" t="s">
        <v>181</v>
      </c>
      <c r="K612" s="213">
        <v>150</v>
      </c>
      <c r="L612" s="143"/>
      <c r="M612" s="213">
        <f>K612-(L612+L613+L614)</f>
        <v>150</v>
      </c>
      <c r="N612" s="217">
        <f>(L612+L613+L614)/K612</f>
        <v>0</v>
      </c>
    </row>
    <row r="613" spans="1:14" hidden="1">
      <c r="A613" s="30" t="s">
        <v>669</v>
      </c>
      <c r="B613" s="30" t="s">
        <v>390</v>
      </c>
      <c r="C613" s="73">
        <v>45446</v>
      </c>
      <c r="D613" s="30">
        <v>1358</v>
      </c>
      <c r="E613" s="30" t="s">
        <v>346</v>
      </c>
      <c r="F613" s="30" t="s">
        <v>344</v>
      </c>
      <c r="G613" s="30" t="s">
        <v>674</v>
      </c>
      <c r="H613" s="30">
        <v>697635</v>
      </c>
      <c r="I613" s="30"/>
      <c r="J613" s="30" t="s">
        <v>181</v>
      </c>
      <c r="K613" s="214"/>
      <c r="L613" s="143"/>
      <c r="M613" s="214"/>
      <c r="N613" s="217"/>
    </row>
    <row r="614" spans="1:14" hidden="1">
      <c r="A614" s="30" t="s">
        <v>669</v>
      </c>
      <c r="B614" s="30" t="s">
        <v>390</v>
      </c>
      <c r="C614" s="73">
        <v>45446</v>
      </c>
      <c r="D614" s="30">
        <v>1358</v>
      </c>
      <c r="E614" s="30" t="s">
        <v>346</v>
      </c>
      <c r="F614" s="30" t="s">
        <v>344</v>
      </c>
      <c r="G614" s="30" t="s">
        <v>675</v>
      </c>
      <c r="H614" s="30">
        <v>701495</v>
      </c>
      <c r="I614" s="30"/>
      <c r="J614" s="30" t="s">
        <v>181</v>
      </c>
      <c r="K614" s="215"/>
      <c r="L614" s="143"/>
      <c r="M614" s="215"/>
      <c r="N614" s="217"/>
    </row>
    <row r="615" spans="1:14" hidden="1">
      <c r="A615" s="30" t="s">
        <v>669</v>
      </c>
      <c r="B615" s="30" t="s">
        <v>390</v>
      </c>
      <c r="C615" s="73">
        <v>45446</v>
      </c>
      <c r="D615" s="30">
        <v>1358</v>
      </c>
      <c r="E615" s="30" t="s">
        <v>346</v>
      </c>
      <c r="F615" s="30" t="s">
        <v>344</v>
      </c>
      <c r="G615" s="30" t="s">
        <v>384</v>
      </c>
      <c r="H615" s="30">
        <v>700014</v>
      </c>
      <c r="I615" s="30"/>
      <c r="J615" s="30" t="s">
        <v>182</v>
      </c>
      <c r="K615" s="213">
        <v>410</v>
      </c>
      <c r="L615" s="143"/>
      <c r="M615" s="213">
        <f>K615-(L615+L616+L617)</f>
        <v>410</v>
      </c>
      <c r="N615" s="217">
        <f>(L615+L616+L617)/K615</f>
        <v>0</v>
      </c>
    </row>
    <row r="616" spans="1:14" hidden="1">
      <c r="A616" s="30" t="s">
        <v>669</v>
      </c>
      <c r="B616" s="30" t="s">
        <v>390</v>
      </c>
      <c r="C616" s="73">
        <v>45446</v>
      </c>
      <c r="D616" s="30">
        <v>1358</v>
      </c>
      <c r="E616" s="30" t="s">
        <v>346</v>
      </c>
      <c r="F616" s="30" t="s">
        <v>344</v>
      </c>
      <c r="G616" s="30" t="s">
        <v>674</v>
      </c>
      <c r="H616" s="30">
        <v>697635</v>
      </c>
      <c r="I616" s="30"/>
      <c r="J616" s="30" t="s">
        <v>182</v>
      </c>
      <c r="K616" s="214"/>
      <c r="L616" s="143"/>
      <c r="M616" s="214"/>
      <c r="N616" s="217"/>
    </row>
    <row r="617" spans="1:14" hidden="1">
      <c r="A617" s="30" t="s">
        <v>669</v>
      </c>
      <c r="B617" s="30" t="s">
        <v>390</v>
      </c>
      <c r="C617" s="73">
        <v>45446</v>
      </c>
      <c r="D617" s="30">
        <v>1358</v>
      </c>
      <c r="E617" s="30" t="s">
        <v>346</v>
      </c>
      <c r="F617" s="30" t="s">
        <v>344</v>
      </c>
      <c r="G617" s="30" t="s">
        <v>675</v>
      </c>
      <c r="H617" s="30">
        <v>701495</v>
      </c>
      <c r="I617" s="30"/>
      <c r="J617" s="30" t="s">
        <v>182</v>
      </c>
      <c r="K617" s="215"/>
      <c r="L617" s="143"/>
      <c r="M617" s="215"/>
      <c r="N617" s="217"/>
    </row>
    <row r="618" spans="1:14" hidden="1">
      <c r="A618" s="30" t="s">
        <v>669</v>
      </c>
      <c r="B618" s="30" t="s">
        <v>345</v>
      </c>
      <c r="C618" s="73">
        <v>45446</v>
      </c>
      <c r="D618" s="30">
        <v>1358</v>
      </c>
      <c r="E618" s="30" t="s">
        <v>346</v>
      </c>
      <c r="F618" s="30" t="s">
        <v>344</v>
      </c>
      <c r="G618" s="30" t="s">
        <v>676</v>
      </c>
      <c r="H618" s="30">
        <v>699707</v>
      </c>
      <c r="I618" s="30"/>
      <c r="J618" s="30" t="s">
        <v>181</v>
      </c>
      <c r="K618" s="64">
        <v>50</v>
      </c>
      <c r="L618" s="143"/>
      <c r="M618" s="64">
        <f t="shared" ref="M618:M619" si="57">K618-L618</f>
        <v>50</v>
      </c>
      <c r="N618" s="54">
        <f t="shared" ref="N618:N619" si="58">L618/K618</f>
        <v>0</v>
      </c>
    </row>
    <row r="619" spans="1:14" hidden="1">
      <c r="A619" s="30" t="s">
        <v>669</v>
      </c>
      <c r="B619" s="30" t="s">
        <v>345</v>
      </c>
      <c r="C619" s="73">
        <v>45446</v>
      </c>
      <c r="D619" s="30">
        <v>1358</v>
      </c>
      <c r="E619" s="30" t="s">
        <v>346</v>
      </c>
      <c r="F619" s="30" t="s">
        <v>344</v>
      </c>
      <c r="G619" s="30" t="s">
        <v>676</v>
      </c>
      <c r="H619" s="30">
        <v>699707</v>
      </c>
      <c r="I619" s="30"/>
      <c r="J619" s="30" t="s">
        <v>182</v>
      </c>
      <c r="K619" s="64">
        <v>200</v>
      </c>
      <c r="L619" s="143"/>
      <c r="M619" s="64">
        <f t="shared" si="57"/>
        <v>200</v>
      </c>
      <c r="N619" s="54">
        <f t="shared" si="58"/>
        <v>0</v>
      </c>
    </row>
    <row r="620" spans="1:14" hidden="1">
      <c r="A620" s="30" t="s">
        <v>669</v>
      </c>
      <c r="B620" s="30" t="s">
        <v>345</v>
      </c>
      <c r="C620" s="73">
        <v>45446</v>
      </c>
      <c r="D620" s="30">
        <v>1358</v>
      </c>
      <c r="E620" s="30" t="s">
        <v>346</v>
      </c>
      <c r="F620" s="30" t="s">
        <v>344</v>
      </c>
      <c r="G620" s="30" t="s">
        <v>433</v>
      </c>
      <c r="H620" s="30">
        <v>968833</v>
      </c>
      <c r="I620" s="30"/>
      <c r="J620" s="30" t="s">
        <v>181</v>
      </c>
      <c r="K620" s="64">
        <v>40</v>
      </c>
      <c r="L620" s="143"/>
      <c r="M620" s="64">
        <f t="shared" ref="M620:M621" si="59">K620-L620</f>
        <v>40</v>
      </c>
      <c r="N620" s="54">
        <f t="shared" ref="N620:N621" si="60">L620/K620</f>
        <v>0</v>
      </c>
    </row>
    <row r="621" spans="1:14" hidden="1">
      <c r="A621" s="30" t="s">
        <v>669</v>
      </c>
      <c r="B621" s="30" t="s">
        <v>345</v>
      </c>
      <c r="C621" s="73">
        <v>45446</v>
      </c>
      <c r="D621" s="30">
        <v>1358</v>
      </c>
      <c r="E621" s="30" t="s">
        <v>346</v>
      </c>
      <c r="F621" s="30" t="s">
        <v>344</v>
      </c>
      <c r="G621" s="30" t="s">
        <v>433</v>
      </c>
      <c r="H621" s="30">
        <v>968833</v>
      </c>
      <c r="I621" s="30"/>
      <c r="J621" s="30" t="s">
        <v>182</v>
      </c>
      <c r="K621" s="64">
        <v>140</v>
      </c>
      <c r="L621" s="143"/>
      <c r="M621" s="64">
        <f t="shared" si="59"/>
        <v>140</v>
      </c>
      <c r="N621" s="54">
        <f t="shared" si="60"/>
        <v>0</v>
      </c>
    </row>
    <row r="622" spans="1:14" hidden="1">
      <c r="A622" s="30" t="s">
        <v>541</v>
      </c>
      <c r="B622" s="30" t="s">
        <v>345</v>
      </c>
      <c r="C622" s="73">
        <v>45450</v>
      </c>
      <c r="D622" s="30">
        <v>1390</v>
      </c>
      <c r="E622" s="30" t="s">
        <v>408</v>
      </c>
      <c r="F622" s="30" t="s">
        <v>377</v>
      </c>
      <c r="G622" s="30" t="s">
        <v>453</v>
      </c>
      <c r="H622" s="30">
        <v>700343</v>
      </c>
      <c r="I622" s="30"/>
      <c r="J622" s="30" t="s">
        <v>181</v>
      </c>
      <c r="K622" s="64">
        <v>25</v>
      </c>
      <c r="L622" s="143"/>
      <c r="M622" s="64">
        <f t="shared" ref="M622:M623" si="61">K622-L622</f>
        <v>25</v>
      </c>
      <c r="N622" s="54">
        <f t="shared" ref="N622:N623" si="62">L622/K622</f>
        <v>0</v>
      </c>
    </row>
    <row r="623" spans="1:14" hidden="1">
      <c r="A623" s="30" t="s">
        <v>541</v>
      </c>
      <c r="B623" s="30" t="s">
        <v>345</v>
      </c>
      <c r="C623" s="73">
        <v>45450</v>
      </c>
      <c r="D623" s="30">
        <v>1390</v>
      </c>
      <c r="E623" s="30" t="s">
        <v>408</v>
      </c>
      <c r="F623" s="30" t="s">
        <v>377</v>
      </c>
      <c r="G623" s="30" t="s">
        <v>453</v>
      </c>
      <c r="H623" s="30">
        <v>700343</v>
      </c>
      <c r="I623" s="30"/>
      <c r="J623" s="30" t="s">
        <v>182</v>
      </c>
      <c r="K623" s="64">
        <v>75</v>
      </c>
      <c r="L623" s="143"/>
      <c r="M623" s="64">
        <f t="shared" si="61"/>
        <v>75</v>
      </c>
      <c r="N623" s="54">
        <f t="shared" si="62"/>
        <v>0</v>
      </c>
    </row>
    <row r="624" spans="1:14" hidden="1">
      <c r="A624" s="30" t="s">
        <v>677</v>
      </c>
      <c r="B624" s="30" t="s">
        <v>345</v>
      </c>
      <c r="C624" s="73">
        <v>45457</v>
      </c>
      <c r="D624" s="30">
        <v>1417</v>
      </c>
      <c r="E624" s="30" t="s">
        <v>408</v>
      </c>
      <c r="F624" s="30" t="s">
        <v>377</v>
      </c>
      <c r="G624" s="30" t="s">
        <v>678</v>
      </c>
      <c r="H624" s="30">
        <v>969788</v>
      </c>
      <c r="I624" s="30"/>
      <c r="J624" s="30" t="s">
        <v>181</v>
      </c>
      <c r="K624" s="64">
        <v>150</v>
      </c>
      <c r="L624" s="143"/>
      <c r="M624" s="64">
        <f t="shared" ref="M624:M625" si="63">K624-L624</f>
        <v>150</v>
      </c>
      <c r="N624" s="54">
        <f t="shared" ref="N624:N625" si="64">L624/K624</f>
        <v>0</v>
      </c>
    </row>
    <row r="625" spans="1:14" hidden="1">
      <c r="A625" s="30" t="s">
        <v>677</v>
      </c>
      <c r="B625" s="30" t="s">
        <v>345</v>
      </c>
      <c r="C625" s="73">
        <v>45457</v>
      </c>
      <c r="D625" s="30">
        <v>1417</v>
      </c>
      <c r="E625" s="30" t="s">
        <v>408</v>
      </c>
      <c r="F625" s="30" t="s">
        <v>377</v>
      </c>
      <c r="G625" s="30" t="s">
        <v>678</v>
      </c>
      <c r="H625" s="30">
        <v>969788</v>
      </c>
      <c r="I625" s="30"/>
      <c r="J625" s="30" t="s">
        <v>182</v>
      </c>
      <c r="K625" s="64">
        <v>100</v>
      </c>
      <c r="L625" s="143"/>
      <c r="M625" s="64">
        <f t="shared" si="63"/>
        <v>100</v>
      </c>
      <c r="N625" s="54">
        <f t="shared" si="64"/>
        <v>0</v>
      </c>
    </row>
    <row r="626" spans="1:14" hidden="1">
      <c r="A626" s="30" t="s">
        <v>343</v>
      </c>
      <c r="B626" s="30" t="s">
        <v>390</v>
      </c>
      <c r="C626" s="73">
        <v>45460</v>
      </c>
      <c r="D626" s="30">
        <v>1431</v>
      </c>
      <c r="E626" s="30" t="s">
        <v>346</v>
      </c>
      <c r="F626" s="30" t="s">
        <v>344</v>
      </c>
      <c r="G626" s="30" t="s">
        <v>680</v>
      </c>
      <c r="H626" s="30">
        <v>969701</v>
      </c>
      <c r="I626" s="30"/>
      <c r="J626" s="30" t="s">
        <v>181</v>
      </c>
      <c r="K626" s="213">
        <v>215</v>
      </c>
      <c r="L626" s="143"/>
      <c r="M626" s="213">
        <f>K626-(L626+L627)</f>
        <v>215</v>
      </c>
      <c r="N626" s="217">
        <f>(L626+L627)/K626</f>
        <v>0</v>
      </c>
    </row>
    <row r="627" spans="1:14" hidden="1">
      <c r="A627" s="30" t="s">
        <v>343</v>
      </c>
      <c r="B627" s="30" t="s">
        <v>390</v>
      </c>
      <c r="C627" s="73">
        <v>45460</v>
      </c>
      <c r="D627" s="30">
        <v>1431</v>
      </c>
      <c r="E627" s="30" t="s">
        <v>346</v>
      </c>
      <c r="F627" s="30" t="s">
        <v>344</v>
      </c>
      <c r="G627" s="30" t="s">
        <v>681</v>
      </c>
      <c r="H627" s="30">
        <v>967342</v>
      </c>
      <c r="I627" s="30"/>
      <c r="J627" s="30" t="s">
        <v>181</v>
      </c>
      <c r="K627" s="215"/>
      <c r="L627" s="143"/>
      <c r="M627" s="215"/>
      <c r="N627" s="217"/>
    </row>
    <row r="628" spans="1:14" hidden="1">
      <c r="A628" s="30" t="s">
        <v>343</v>
      </c>
      <c r="B628" s="30" t="s">
        <v>390</v>
      </c>
      <c r="C628" s="73">
        <v>45460</v>
      </c>
      <c r="D628" s="30">
        <v>1431</v>
      </c>
      <c r="E628" s="30" t="s">
        <v>346</v>
      </c>
      <c r="F628" s="30" t="s">
        <v>344</v>
      </c>
      <c r="G628" s="30" t="s">
        <v>680</v>
      </c>
      <c r="H628" s="30">
        <v>969701</v>
      </c>
      <c r="I628" s="30"/>
      <c r="J628" s="30" t="s">
        <v>182</v>
      </c>
      <c r="K628" s="213">
        <v>185</v>
      </c>
      <c r="L628" s="143"/>
      <c r="M628" s="213">
        <f>K628-(L628+L629)</f>
        <v>185</v>
      </c>
      <c r="N628" s="217">
        <f>(L628+L629)/K628</f>
        <v>0</v>
      </c>
    </row>
    <row r="629" spans="1:14" hidden="1">
      <c r="A629" s="30" t="s">
        <v>343</v>
      </c>
      <c r="B629" s="30" t="s">
        <v>390</v>
      </c>
      <c r="C629" s="73">
        <v>45460</v>
      </c>
      <c r="D629" s="30">
        <v>1431</v>
      </c>
      <c r="E629" s="30" t="s">
        <v>346</v>
      </c>
      <c r="F629" s="30" t="s">
        <v>344</v>
      </c>
      <c r="G629" s="30" t="s">
        <v>681</v>
      </c>
      <c r="H629" s="30">
        <v>967342</v>
      </c>
      <c r="I629" s="30"/>
      <c r="J629" s="30" t="s">
        <v>182</v>
      </c>
      <c r="K629" s="215"/>
      <c r="L629" s="143"/>
      <c r="M629" s="215"/>
      <c r="N629" s="217"/>
    </row>
    <row r="630" spans="1:14" hidden="1">
      <c r="A630" s="30" t="s">
        <v>677</v>
      </c>
      <c r="B630" s="30" t="s">
        <v>345</v>
      </c>
      <c r="C630" s="73">
        <v>45461</v>
      </c>
      <c r="D630" s="30">
        <v>1447</v>
      </c>
      <c r="E630" s="30" t="s">
        <v>408</v>
      </c>
      <c r="F630" s="30" t="s">
        <v>377</v>
      </c>
      <c r="G630" s="30" t="s">
        <v>384</v>
      </c>
      <c r="H630" s="30">
        <v>700014</v>
      </c>
      <c r="I630" s="30"/>
      <c r="J630" s="30" t="s">
        <v>181</v>
      </c>
      <c r="K630" s="64">
        <v>100</v>
      </c>
      <c r="L630" s="143">
        <v>116.114</v>
      </c>
      <c r="M630" s="64">
        <f t="shared" ref="M630:M631" si="65">K630-L630</f>
        <v>-16.114000000000004</v>
      </c>
      <c r="N630" s="54">
        <f t="shared" ref="N630:N631" si="66">L630/K630</f>
        <v>1.1611400000000001</v>
      </c>
    </row>
    <row r="631" spans="1:14" hidden="1">
      <c r="A631" s="30" t="s">
        <v>677</v>
      </c>
      <c r="B631" s="30" t="s">
        <v>345</v>
      </c>
      <c r="C631" s="73">
        <v>45461</v>
      </c>
      <c r="D631" s="30">
        <v>1447</v>
      </c>
      <c r="E631" s="30" t="s">
        <v>408</v>
      </c>
      <c r="F631" s="30" t="s">
        <v>377</v>
      </c>
      <c r="G631" s="30" t="s">
        <v>384</v>
      </c>
      <c r="H631" s="30">
        <v>700014</v>
      </c>
      <c r="I631" s="30"/>
      <c r="J631" s="30" t="s">
        <v>182</v>
      </c>
      <c r="K631" s="64">
        <v>250</v>
      </c>
      <c r="L631" s="143">
        <v>22.135999999999999</v>
      </c>
      <c r="M631" s="64">
        <f t="shared" si="65"/>
        <v>227.864</v>
      </c>
      <c r="N631" s="54">
        <f t="shared" si="66"/>
        <v>8.8543999999999998E-2</v>
      </c>
    </row>
    <row r="632" spans="1:14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64"/>
      <c r="L632" s="143"/>
      <c r="M632" s="64"/>
      <c r="N632" s="54"/>
    </row>
    <row r="633" spans="1:14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64"/>
      <c r="L633" s="143"/>
      <c r="M633" s="64"/>
      <c r="N633" s="54"/>
    </row>
    <row r="634" spans="1:1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64"/>
      <c r="L634" s="143"/>
      <c r="M634" s="64"/>
      <c r="N634" s="54"/>
    </row>
    <row r="635" spans="1:14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64"/>
      <c r="L635" s="143"/>
      <c r="M635" s="64"/>
      <c r="N635" s="54"/>
    </row>
    <row r="636" spans="1:14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64"/>
      <c r="L636" s="143"/>
      <c r="M636" s="64"/>
      <c r="N636" s="54"/>
    </row>
    <row r="637" spans="1:14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64"/>
      <c r="L637" s="143"/>
      <c r="M637" s="64"/>
      <c r="N637" s="54"/>
    </row>
    <row r="638" spans="1:14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64"/>
      <c r="L638" s="143"/>
      <c r="M638" s="64"/>
      <c r="N638" s="54"/>
    </row>
    <row r="639" spans="1:14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64"/>
      <c r="L639" s="143"/>
      <c r="M639" s="64"/>
      <c r="N639" s="54"/>
    </row>
    <row r="640" spans="1:14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64"/>
      <c r="L640" s="143"/>
      <c r="M640" s="64"/>
      <c r="N640" s="54"/>
    </row>
    <row r="641" spans="1:14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64"/>
      <c r="L641" s="143"/>
      <c r="M641" s="64"/>
      <c r="N641" s="54"/>
    </row>
    <row r="642" spans="1:14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64"/>
      <c r="L642" s="143"/>
      <c r="M642" s="64"/>
      <c r="N642" s="54"/>
    </row>
    <row r="643" spans="1:14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64"/>
      <c r="L643" s="143"/>
      <c r="M643" s="64"/>
      <c r="N643" s="54"/>
    </row>
    <row r="644" spans="1:1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64"/>
      <c r="L644" s="143"/>
      <c r="M644" s="64"/>
      <c r="N644" s="54"/>
    </row>
    <row r="645" spans="1:14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64"/>
      <c r="L645" s="143"/>
      <c r="M645" s="64"/>
      <c r="N645" s="54"/>
    </row>
    <row r="646" spans="1:14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64"/>
      <c r="L646" s="143"/>
      <c r="M646" s="64"/>
      <c r="N646" s="54"/>
    </row>
    <row r="647" spans="1:14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64"/>
      <c r="L647" s="143"/>
      <c r="M647" s="64"/>
      <c r="N647" s="54"/>
    </row>
    <row r="648" spans="1:14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64"/>
      <c r="L648" s="143"/>
      <c r="M648" s="64"/>
      <c r="N648" s="54"/>
    </row>
    <row r="649" spans="1:14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64"/>
      <c r="L649" s="143"/>
      <c r="M649" s="64"/>
      <c r="N649" s="54"/>
    </row>
    <row r="650" spans="1:14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64"/>
      <c r="L650" s="143"/>
      <c r="M650" s="64"/>
      <c r="N650" s="54"/>
    </row>
    <row r="651" spans="1:14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64"/>
      <c r="L651" s="143"/>
      <c r="M651" s="64"/>
      <c r="N651" s="54"/>
    </row>
    <row r="652" spans="1:14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64"/>
      <c r="L652" s="143"/>
      <c r="M652" s="64"/>
      <c r="N652" s="54"/>
    </row>
    <row r="653" spans="1:14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64"/>
      <c r="L653" s="143"/>
      <c r="M653" s="64"/>
      <c r="N653" s="54"/>
    </row>
    <row r="654" spans="1:1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64"/>
      <c r="L654" s="143"/>
      <c r="M654" s="64"/>
      <c r="N654" s="54"/>
    </row>
    <row r="655" spans="1:14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64"/>
      <c r="L655" s="143"/>
      <c r="M655" s="64"/>
      <c r="N655" s="54"/>
    </row>
    <row r="656" spans="1:14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64"/>
      <c r="L656" s="143"/>
      <c r="M656" s="64"/>
      <c r="N656" s="54"/>
    </row>
    <row r="657" spans="1:14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64"/>
      <c r="L657" s="143"/>
      <c r="M657" s="64"/>
      <c r="N657" s="54"/>
    </row>
    <row r="658" spans="1:14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64"/>
      <c r="L658" s="143"/>
      <c r="M658" s="64"/>
      <c r="N658" s="54"/>
    </row>
    <row r="659" spans="1:14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64"/>
      <c r="L659" s="143"/>
      <c r="M659" s="64"/>
      <c r="N659" s="54"/>
    </row>
    <row r="660" spans="1:14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64"/>
      <c r="L660" s="143"/>
      <c r="M660" s="64"/>
      <c r="N660" s="54"/>
    </row>
    <row r="661" spans="1:14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64"/>
      <c r="L661" s="143"/>
      <c r="M661" s="64"/>
      <c r="N661" s="54"/>
    </row>
    <row r="662" spans="1:14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64"/>
      <c r="L662" s="143"/>
      <c r="M662" s="64"/>
      <c r="N662" s="54"/>
    </row>
    <row r="663" spans="1:14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64"/>
      <c r="L663" s="143"/>
      <c r="M663" s="64"/>
      <c r="N663" s="54"/>
    </row>
    <row r="664" spans="1:1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64"/>
      <c r="L664" s="143"/>
      <c r="M664" s="64"/>
      <c r="N664" s="54"/>
    </row>
    <row r="665" spans="1:14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64"/>
      <c r="L665" s="143"/>
      <c r="M665" s="64"/>
      <c r="N665" s="54"/>
    </row>
    <row r="666" spans="1:14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64"/>
      <c r="L666" s="143"/>
      <c r="M666" s="64"/>
      <c r="N666" s="54"/>
    </row>
    <row r="667" spans="1:14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64"/>
      <c r="L667" s="143"/>
      <c r="M667" s="64"/>
      <c r="N667" s="54"/>
    </row>
    <row r="668" spans="1:14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64"/>
      <c r="L668" s="143"/>
      <c r="M668" s="64"/>
      <c r="N668" s="54"/>
    </row>
    <row r="669" spans="1:14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64"/>
      <c r="L669" s="143"/>
      <c r="M669" s="64"/>
      <c r="N669" s="54"/>
    </row>
    <row r="670" spans="1:14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64"/>
      <c r="L670" s="143"/>
      <c r="M670" s="64"/>
      <c r="N670" s="54"/>
    </row>
    <row r="671" spans="1:14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64"/>
      <c r="L671" s="143"/>
      <c r="M671" s="64"/>
      <c r="N671" s="54"/>
    </row>
    <row r="672" spans="1:14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64"/>
      <c r="L672" s="143"/>
      <c r="M672" s="64"/>
      <c r="N672" s="54"/>
    </row>
    <row r="673" spans="1:14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64"/>
      <c r="L673" s="143"/>
      <c r="M673" s="64"/>
      <c r="N673" s="54"/>
    </row>
    <row r="674" spans="1:1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64"/>
      <c r="L674" s="143"/>
      <c r="M674" s="64"/>
      <c r="N674" s="54"/>
    </row>
    <row r="675" spans="1:14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64"/>
      <c r="L675" s="143"/>
      <c r="M675" s="64"/>
      <c r="N675" s="54"/>
    </row>
    <row r="676" spans="1:14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64"/>
      <c r="L676" s="143"/>
      <c r="M676" s="64"/>
      <c r="N676" s="54"/>
    </row>
    <row r="677" spans="1:14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64"/>
      <c r="L677" s="143"/>
      <c r="M677" s="64"/>
      <c r="N677" s="54"/>
    </row>
    <row r="678" spans="1:14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64"/>
      <c r="L678" s="143"/>
      <c r="M678" s="64"/>
      <c r="N678" s="54"/>
    </row>
    <row r="679" spans="1:14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64"/>
      <c r="L679" s="143"/>
      <c r="M679" s="64"/>
      <c r="N679" s="54"/>
    </row>
    <row r="680" spans="1:14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64"/>
      <c r="L680" s="143"/>
      <c r="M680" s="64"/>
      <c r="N680" s="54"/>
    </row>
    <row r="681" spans="1:14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64"/>
      <c r="L681" s="143"/>
      <c r="M681" s="64"/>
      <c r="N681" s="54"/>
    </row>
    <row r="682" spans="1:14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64"/>
      <c r="L682" s="143"/>
      <c r="M682" s="64"/>
      <c r="N682" s="54"/>
    </row>
    <row r="683" spans="1:14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64"/>
      <c r="L683" s="143"/>
      <c r="M683" s="64"/>
      <c r="N683" s="54"/>
    </row>
    <row r="684" spans="1:1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64"/>
      <c r="L684" s="143"/>
      <c r="M684" s="64"/>
      <c r="N684" s="54"/>
    </row>
    <row r="685" spans="1:14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64"/>
      <c r="L685" s="143"/>
      <c r="M685" s="64"/>
      <c r="N685" s="54"/>
    </row>
    <row r="686" spans="1:14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64"/>
      <c r="L686" s="143"/>
      <c r="M686" s="64"/>
      <c r="N686" s="54"/>
    </row>
    <row r="687" spans="1:14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64"/>
      <c r="L687" s="143"/>
      <c r="M687" s="64"/>
      <c r="N687" s="54"/>
    </row>
    <row r="688" spans="1:14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64"/>
      <c r="L688" s="143"/>
      <c r="M688" s="64"/>
      <c r="N688" s="54"/>
    </row>
    <row r="689" spans="1:14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64"/>
      <c r="L689" s="143"/>
      <c r="M689" s="64"/>
      <c r="N689" s="54"/>
    </row>
    <row r="690" spans="1:14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64"/>
      <c r="L690" s="143"/>
      <c r="M690" s="64"/>
      <c r="N690" s="54"/>
    </row>
    <row r="691" spans="1:14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64"/>
      <c r="L691" s="143"/>
      <c r="M691" s="64"/>
      <c r="N691" s="54"/>
    </row>
    <row r="692" spans="1:14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64"/>
      <c r="L692" s="143"/>
      <c r="M692" s="64"/>
      <c r="N692" s="54"/>
    </row>
    <row r="693" spans="1:14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64"/>
      <c r="L693" s="143"/>
      <c r="M693" s="64"/>
      <c r="N693" s="54"/>
    </row>
    <row r="694" spans="1:1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64"/>
      <c r="L694" s="143"/>
      <c r="M694" s="64"/>
      <c r="N694" s="54"/>
    </row>
    <row r="695" spans="1:14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64"/>
      <c r="L695" s="143"/>
      <c r="M695" s="64"/>
      <c r="N695" s="54"/>
    </row>
    <row r="696" spans="1:14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64"/>
      <c r="L696" s="143"/>
      <c r="M696" s="64"/>
      <c r="N696" s="54"/>
    </row>
    <row r="697" spans="1:14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64"/>
      <c r="L697" s="143"/>
      <c r="M697" s="64"/>
      <c r="N697" s="54"/>
    </row>
    <row r="698" spans="1:14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64"/>
      <c r="L698" s="143"/>
      <c r="M698" s="64"/>
      <c r="N698" s="54"/>
    </row>
    <row r="699" spans="1:14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64"/>
      <c r="L699" s="143"/>
      <c r="M699" s="64"/>
      <c r="N699" s="54"/>
    </row>
    <row r="700" spans="1:14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64"/>
      <c r="L700" s="143"/>
      <c r="M700" s="64"/>
      <c r="N700" s="54"/>
    </row>
    <row r="701" spans="1:14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64"/>
      <c r="L701" s="143"/>
      <c r="M701" s="64"/>
      <c r="N701" s="54"/>
    </row>
    <row r="702" spans="1:14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64"/>
      <c r="L702" s="143"/>
      <c r="M702" s="64"/>
      <c r="N702" s="54"/>
    </row>
    <row r="703" spans="1:14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64"/>
      <c r="L703" s="143"/>
      <c r="M703" s="64"/>
      <c r="N703" s="54"/>
    </row>
    <row r="704" spans="1:1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64"/>
      <c r="L704" s="143"/>
      <c r="M704" s="64"/>
      <c r="N704" s="54"/>
    </row>
    <row r="705" spans="1:14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64"/>
      <c r="L705" s="143"/>
      <c r="M705" s="64"/>
      <c r="N705" s="54"/>
    </row>
    <row r="706" spans="1:14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64"/>
      <c r="L706" s="143"/>
      <c r="M706" s="64"/>
      <c r="N706" s="54"/>
    </row>
    <row r="707" spans="1:14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64"/>
      <c r="L707" s="143"/>
      <c r="M707" s="64"/>
      <c r="N707" s="54"/>
    </row>
    <row r="708" spans="1:14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64"/>
      <c r="L708" s="143"/>
      <c r="M708" s="64"/>
      <c r="N708" s="54"/>
    </row>
    <row r="709" spans="1:14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64"/>
      <c r="L709" s="143"/>
      <c r="M709" s="64"/>
      <c r="N709" s="54"/>
    </row>
    <row r="710" spans="1:14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64"/>
      <c r="L710" s="143"/>
      <c r="M710" s="64"/>
      <c r="N710" s="54"/>
    </row>
    <row r="711" spans="1:14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64"/>
      <c r="L711" s="143"/>
      <c r="M711" s="64"/>
      <c r="N711" s="54"/>
    </row>
    <row r="712" spans="1:14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64"/>
      <c r="L712" s="143"/>
      <c r="M712" s="64"/>
      <c r="N712" s="54"/>
    </row>
    <row r="713" spans="1:14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64"/>
      <c r="L713" s="143"/>
      <c r="M713" s="64"/>
      <c r="N713" s="54"/>
    </row>
    <row r="714" spans="1:1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64"/>
      <c r="L714" s="143"/>
      <c r="M714" s="64"/>
      <c r="N714" s="54"/>
    </row>
    <row r="715" spans="1:14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64"/>
      <c r="L715" s="143"/>
      <c r="M715" s="64"/>
      <c r="N715" s="54"/>
    </row>
    <row r="716" spans="1:14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64"/>
      <c r="L716" s="143"/>
      <c r="M716" s="64"/>
      <c r="N716" s="54"/>
    </row>
    <row r="717" spans="1:14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64"/>
      <c r="L717" s="143"/>
      <c r="M717" s="64"/>
      <c r="N717" s="54"/>
    </row>
    <row r="718" spans="1:14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64"/>
      <c r="L718" s="143"/>
      <c r="M718" s="64"/>
      <c r="N718" s="54"/>
    </row>
    <row r="719" spans="1:14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64"/>
      <c r="L719" s="143"/>
      <c r="M719" s="64"/>
      <c r="N719" s="54"/>
    </row>
    <row r="720" spans="1:14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64"/>
      <c r="L720" s="143"/>
      <c r="M720" s="64"/>
      <c r="N720" s="54"/>
    </row>
    <row r="721" spans="1:14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64"/>
      <c r="L721" s="143"/>
      <c r="M721" s="64"/>
      <c r="N721" s="54"/>
    </row>
    <row r="722" spans="1:14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64"/>
      <c r="L722" s="143"/>
      <c r="M722" s="64"/>
      <c r="N722" s="54"/>
    </row>
    <row r="723" spans="1:14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64"/>
      <c r="L723" s="143"/>
      <c r="M723" s="64"/>
      <c r="N723" s="54"/>
    </row>
    <row r="724" spans="1:1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64"/>
      <c r="L724" s="143"/>
      <c r="M724" s="64"/>
      <c r="N724" s="54"/>
    </row>
    <row r="725" spans="1:14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64"/>
      <c r="L725" s="143"/>
      <c r="M725" s="64"/>
      <c r="N725" s="54"/>
    </row>
    <row r="726" spans="1:14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64"/>
      <c r="L726" s="143"/>
      <c r="M726" s="64"/>
      <c r="N726" s="54"/>
    </row>
    <row r="727" spans="1:14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64"/>
      <c r="L727" s="143"/>
      <c r="M727" s="64"/>
      <c r="N727" s="54"/>
    </row>
    <row r="728" spans="1:14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64"/>
      <c r="L728" s="143"/>
      <c r="M728" s="64"/>
      <c r="N728" s="54"/>
    </row>
    <row r="729" spans="1:14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64"/>
      <c r="L729" s="143"/>
      <c r="M729" s="64"/>
      <c r="N729" s="54"/>
    </row>
    <row r="730" spans="1:14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64"/>
      <c r="L730" s="143"/>
      <c r="M730" s="64"/>
      <c r="N730" s="54"/>
    </row>
    <row r="731" spans="1:14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64"/>
      <c r="L731" s="143"/>
      <c r="M731" s="64"/>
      <c r="N731" s="54"/>
    </row>
    <row r="732" spans="1:14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64"/>
      <c r="L732" s="143"/>
      <c r="M732" s="64"/>
      <c r="N732" s="54"/>
    </row>
    <row r="733" spans="1:14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64"/>
      <c r="L733" s="143"/>
      <c r="M733" s="64"/>
      <c r="N733" s="54"/>
    </row>
    <row r="734" spans="1:1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64"/>
      <c r="L734" s="143"/>
      <c r="M734" s="64"/>
      <c r="N734" s="54"/>
    </row>
    <row r="735" spans="1:14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64"/>
      <c r="L735" s="143"/>
      <c r="M735" s="64"/>
      <c r="N735" s="54"/>
    </row>
    <row r="736" spans="1:14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64"/>
      <c r="L736" s="143"/>
      <c r="M736" s="64"/>
      <c r="N736" s="54"/>
    </row>
    <row r="737" spans="1:14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64"/>
      <c r="L737" s="143"/>
      <c r="M737" s="64"/>
      <c r="N737" s="54"/>
    </row>
    <row r="738" spans="1:14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64"/>
      <c r="L738" s="143"/>
      <c r="M738" s="64"/>
      <c r="N738" s="54"/>
    </row>
    <row r="739" spans="1:14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64"/>
      <c r="L739" s="143"/>
      <c r="M739" s="64"/>
      <c r="N739" s="54"/>
    </row>
    <row r="740" spans="1:14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64"/>
      <c r="L740" s="143"/>
      <c r="M740" s="64"/>
      <c r="N740" s="54"/>
    </row>
    <row r="741" spans="1:14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64"/>
      <c r="L741" s="143"/>
      <c r="M741" s="64"/>
      <c r="N741" s="54"/>
    </row>
    <row r="742" spans="1:14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64"/>
      <c r="L742" s="143"/>
      <c r="M742" s="64"/>
      <c r="N742" s="54"/>
    </row>
    <row r="743" spans="1:14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64"/>
      <c r="L743" s="143"/>
      <c r="M743" s="64"/>
      <c r="N743" s="54"/>
    </row>
    <row r="744" spans="1:1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64"/>
      <c r="L744" s="143"/>
      <c r="M744" s="64"/>
      <c r="N744" s="54"/>
    </row>
    <row r="745" spans="1:14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64"/>
      <c r="L745" s="143"/>
      <c r="M745" s="64"/>
      <c r="N745" s="54"/>
    </row>
    <row r="746" spans="1:14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64"/>
      <c r="L746" s="143"/>
      <c r="M746" s="64"/>
      <c r="N746" s="54"/>
    </row>
    <row r="747" spans="1:14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64"/>
      <c r="L747" s="143"/>
      <c r="M747" s="64"/>
      <c r="N747" s="54"/>
    </row>
    <row r="748" spans="1:14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64"/>
      <c r="L748" s="143"/>
      <c r="M748" s="64"/>
      <c r="N748" s="54"/>
    </row>
    <row r="749" spans="1:14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64"/>
      <c r="L749" s="143"/>
      <c r="M749" s="64"/>
      <c r="N749" s="54"/>
    </row>
    <row r="750" spans="1:14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64"/>
      <c r="L750" s="143"/>
      <c r="M750" s="64"/>
      <c r="N750" s="54"/>
    </row>
    <row r="751" spans="1:14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64"/>
      <c r="L751" s="143"/>
      <c r="M751" s="64"/>
      <c r="N751" s="54"/>
    </row>
    <row r="752" spans="1:14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64"/>
      <c r="L752" s="143"/>
      <c r="M752" s="64"/>
      <c r="N752" s="54"/>
    </row>
    <row r="753" spans="1:14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64"/>
      <c r="L753" s="143"/>
      <c r="M753" s="64"/>
      <c r="N753" s="54"/>
    </row>
    <row r="754" spans="1:1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64"/>
      <c r="L754" s="143"/>
      <c r="M754" s="64"/>
      <c r="N754" s="54"/>
    </row>
    <row r="755" spans="1:14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64"/>
      <c r="L755" s="143"/>
      <c r="M755" s="64"/>
      <c r="N755" s="54"/>
    </row>
    <row r="756" spans="1:14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64"/>
      <c r="L756" s="143"/>
      <c r="M756" s="64"/>
      <c r="N756" s="54"/>
    </row>
    <row r="757" spans="1:14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64"/>
      <c r="L757" s="143"/>
      <c r="M757" s="64"/>
      <c r="N757" s="54"/>
    </row>
    <row r="758" spans="1:14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64"/>
      <c r="L758" s="143"/>
      <c r="M758" s="64"/>
      <c r="N758" s="54"/>
    </row>
    <row r="759" spans="1:14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64"/>
      <c r="L759" s="143"/>
      <c r="M759" s="64"/>
      <c r="N759" s="54"/>
    </row>
    <row r="760" spans="1:14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64"/>
      <c r="L760" s="143"/>
      <c r="M760" s="64"/>
      <c r="N760" s="54"/>
    </row>
    <row r="761" spans="1:14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64"/>
      <c r="L761" s="143"/>
      <c r="M761" s="64"/>
      <c r="N761" s="54"/>
    </row>
    <row r="762" spans="1:14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64"/>
      <c r="L762" s="143"/>
      <c r="M762" s="64"/>
      <c r="N762" s="54"/>
    </row>
    <row r="763" spans="1:14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64"/>
      <c r="L763" s="143"/>
      <c r="M763" s="64"/>
      <c r="N763" s="54"/>
    </row>
    <row r="764" spans="1:1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64"/>
      <c r="L764" s="143"/>
      <c r="M764" s="64"/>
      <c r="N764" s="54"/>
    </row>
    <row r="765" spans="1:14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64"/>
      <c r="L765" s="143"/>
      <c r="M765" s="64"/>
      <c r="N765" s="54"/>
    </row>
    <row r="766" spans="1:14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64"/>
      <c r="L766" s="143"/>
      <c r="M766" s="64"/>
      <c r="N766" s="54"/>
    </row>
    <row r="767" spans="1:14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64"/>
      <c r="L767" s="143"/>
      <c r="M767" s="64"/>
      <c r="N767" s="54"/>
    </row>
    <row r="768" spans="1:14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64"/>
      <c r="L768" s="143"/>
      <c r="M768" s="64"/>
      <c r="N768" s="54"/>
    </row>
    <row r="769" spans="1:14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64"/>
      <c r="L769" s="143"/>
      <c r="M769" s="64"/>
      <c r="N769" s="54"/>
    </row>
    <row r="770" spans="1:14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64"/>
      <c r="L770" s="143"/>
      <c r="M770" s="64"/>
      <c r="N770" s="54"/>
    </row>
    <row r="771" spans="1:14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64"/>
      <c r="L771" s="143"/>
      <c r="M771" s="64"/>
      <c r="N771" s="54"/>
    </row>
    <row r="772" spans="1:14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64"/>
      <c r="L772" s="143"/>
      <c r="M772" s="64"/>
      <c r="N772" s="54"/>
    </row>
    <row r="773" spans="1:14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64"/>
      <c r="L773" s="143"/>
      <c r="M773" s="64"/>
      <c r="N773" s="54"/>
    </row>
    <row r="774" spans="1:1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64"/>
      <c r="L774" s="143"/>
      <c r="M774" s="64"/>
      <c r="N774" s="54"/>
    </row>
    <row r="775" spans="1:14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64"/>
      <c r="L775" s="143"/>
      <c r="M775" s="64"/>
      <c r="N775" s="54"/>
    </row>
    <row r="776" spans="1:14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64"/>
      <c r="L776" s="143"/>
      <c r="M776" s="64"/>
      <c r="N776" s="54"/>
    </row>
    <row r="777" spans="1:14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64"/>
      <c r="L777" s="143"/>
      <c r="M777" s="64"/>
      <c r="N777" s="54"/>
    </row>
    <row r="778" spans="1:14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64"/>
      <c r="L778" s="143"/>
      <c r="M778" s="64"/>
      <c r="N778" s="54"/>
    </row>
    <row r="779" spans="1:14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64"/>
      <c r="L779" s="143"/>
      <c r="M779" s="64"/>
      <c r="N779" s="54"/>
    </row>
    <row r="780" spans="1:14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64"/>
      <c r="L780" s="143"/>
      <c r="M780" s="64"/>
      <c r="N780" s="54"/>
    </row>
    <row r="781" spans="1:14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64"/>
      <c r="L781" s="143"/>
      <c r="M781" s="64"/>
      <c r="N781" s="54"/>
    </row>
    <row r="782" spans="1:14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64"/>
      <c r="L782" s="143"/>
      <c r="M782" s="64"/>
      <c r="N782" s="54"/>
    </row>
    <row r="783" spans="1:14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64"/>
      <c r="L783" s="143"/>
      <c r="M783" s="64"/>
      <c r="N783" s="54"/>
    </row>
    <row r="784" spans="1:1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64"/>
      <c r="L784" s="143"/>
      <c r="M784" s="64"/>
      <c r="N784" s="54"/>
    </row>
    <row r="785" spans="1:14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64"/>
      <c r="L785" s="143"/>
      <c r="M785" s="64"/>
      <c r="N785" s="54"/>
    </row>
    <row r="786" spans="1:14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64"/>
      <c r="L786" s="143"/>
      <c r="M786" s="64"/>
      <c r="N786" s="54"/>
    </row>
    <row r="787" spans="1:14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64"/>
      <c r="L787" s="143"/>
      <c r="M787" s="64"/>
      <c r="N787" s="54"/>
    </row>
    <row r="788" spans="1:14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64"/>
      <c r="L788" s="143"/>
      <c r="M788" s="64"/>
      <c r="N788" s="54"/>
    </row>
    <row r="789" spans="1:14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64"/>
      <c r="L789" s="143"/>
      <c r="M789" s="64"/>
      <c r="N789" s="54"/>
    </row>
    <row r="790" spans="1:14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64"/>
      <c r="L790" s="143"/>
      <c r="M790" s="64"/>
      <c r="N790" s="54"/>
    </row>
    <row r="791" spans="1:14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64"/>
      <c r="L791" s="143"/>
      <c r="M791" s="64"/>
      <c r="N791" s="54"/>
    </row>
    <row r="792" spans="1:14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64"/>
      <c r="L792" s="143"/>
      <c r="M792" s="64"/>
      <c r="N792" s="54"/>
    </row>
    <row r="793" spans="1:14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64"/>
      <c r="L793" s="143"/>
      <c r="M793" s="64"/>
      <c r="N793" s="54"/>
    </row>
    <row r="794" spans="1:1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64"/>
      <c r="L794" s="143"/>
      <c r="M794" s="64"/>
      <c r="N794" s="54"/>
    </row>
    <row r="795" spans="1:14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64"/>
      <c r="L795" s="143"/>
      <c r="M795" s="64"/>
      <c r="N795" s="54"/>
    </row>
    <row r="796" spans="1:14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64"/>
      <c r="L796" s="143"/>
      <c r="M796" s="64"/>
      <c r="N796" s="54"/>
    </row>
    <row r="797" spans="1:14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64"/>
      <c r="L797" s="143"/>
      <c r="M797" s="64"/>
      <c r="N797" s="54"/>
    </row>
    <row r="798" spans="1:14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64"/>
      <c r="L798" s="143"/>
      <c r="M798" s="64"/>
      <c r="N798" s="54"/>
    </row>
    <row r="799" spans="1:14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64"/>
      <c r="L799" s="143"/>
      <c r="M799" s="64"/>
      <c r="N799" s="54"/>
    </row>
    <row r="800" spans="1:14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64"/>
      <c r="L800" s="143"/>
      <c r="M800" s="64"/>
      <c r="N800" s="54"/>
    </row>
    <row r="801" spans="1:14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64"/>
      <c r="L801" s="143"/>
      <c r="M801" s="64"/>
      <c r="N801" s="54"/>
    </row>
    <row r="802" spans="1:14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64"/>
      <c r="L802" s="143"/>
      <c r="M802" s="64"/>
      <c r="N802" s="54"/>
    </row>
    <row r="803" spans="1:14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64"/>
      <c r="L803" s="143"/>
      <c r="M803" s="64"/>
      <c r="N803" s="54"/>
    </row>
    <row r="804" spans="1:1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64"/>
      <c r="L804" s="143"/>
      <c r="M804" s="64"/>
      <c r="N804" s="54"/>
    </row>
    <row r="805" spans="1:14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64"/>
      <c r="L805" s="143"/>
      <c r="M805" s="64"/>
      <c r="N805" s="54"/>
    </row>
    <row r="806" spans="1:14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64"/>
      <c r="L806" s="143"/>
      <c r="M806" s="64"/>
      <c r="N806" s="54"/>
    </row>
    <row r="807" spans="1:14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64"/>
      <c r="L807" s="143"/>
      <c r="M807" s="64"/>
      <c r="N807" s="54"/>
    </row>
    <row r="808" spans="1:14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64"/>
      <c r="L808" s="143"/>
      <c r="M808" s="64"/>
      <c r="N808" s="54"/>
    </row>
    <row r="809" spans="1:14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64"/>
      <c r="L809" s="143"/>
      <c r="M809" s="64"/>
      <c r="N809" s="54"/>
    </row>
    <row r="810" spans="1:14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64"/>
      <c r="L810" s="143"/>
      <c r="M810" s="64"/>
      <c r="N810" s="54"/>
    </row>
    <row r="811" spans="1:14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64"/>
      <c r="L811" s="143"/>
      <c r="M811" s="64"/>
      <c r="N811" s="54"/>
    </row>
    <row r="812" spans="1:14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64"/>
      <c r="L812" s="143"/>
      <c r="M812" s="64"/>
      <c r="N812" s="54"/>
    </row>
    <row r="813" spans="1:14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64"/>
      <c r="L813" s="143"/>
      <c r="M813" s="64"/>
      <c r="N813" s="54"/>
    </row>
    <row r="814" spans="1:1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64"/>
      <c r="L814" s="143"/>
      <c r="M814" s="64"/>
      <c r="N814" s="54"/>
    </row>
    <row r="815" spans="1:14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64"/>
      <c r="L815" s="143"/>
      <c r="M815" s="64"/>
      <c r="N815" s="54"/>
    </row>
    <row r="816" spans="1:14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64"/>
      <c r="L816" s="143"/>
      <c r="M816" s="64"/>
      <c r="N816" s="54"/>
    </row>
    <row r="817" spans="1:14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64"/>
      <c r="L817" s="143"/>
      <c r="M817" s="64"/>
      <c r="N817" s="54"/>
    </row>
    <row r="818" spans="1:14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64"/>
      <c r="L818" s="143"/>
      <c r="M818" s="64"/>
      <c r="N818" s="54"/>
    </row>
    <row r="819" spans="1:14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64"/>
      <c r="L819" s="143"/>
      <c r="M819" s="64"/>
      <c r="N819" s="54"/>
    </row>
    <row r="820" spans="1:14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64"/>
      <c r="L820" s="143"/>
      <c r="M820" s="64"/>
      <c r="N820" s="54"/>
    </row>
    <row r="821" spans="1:14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64"/>
      <c r="L821" s="143"/>
      <c r="M821" s="64"/>
      <c r="N821" s="54"/>
    </row>
    <row r="822" spans="1:14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64"/>
      <c r="L822" s="143"/>
      <c r="M822" s="64"/>
      <c r="N822" s="54"/>
    </row>
    <row r="823" spans="1:14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64"/>
      <c r="L823" s="143"/>
      <c r="M823" s="64"/>
      <c r="N823" s="54"/>
    </row>
    <row r="824" spans="1:1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64"/>
      <c r="L824" s="143"/>
      <c r="M824" s="64"/>
      <c r="N824" s="54"/>
    </row>
    <row r="825" spans="1:14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64"/>
      <c r="L825" s="143"/>
      <c r="M825" s="64"/>
      <c r="N825" s="54"/>
    </row>
    <row r="826" spans="1:14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64"/>
      <c r="L826" s="143"/>
      <c r="M826" s="64"/>
      <c r="N826" s="54"/>
    </row>
    <row r="827" spans="1:14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64"/>
      <c r="L827" s="143"/>
      <c r="M827" s="64"/>
      <c r="N827" s="54"/>
    </row>
    <row r="828" spans="1:14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64"/>
      <c r="L828" s="143"/>
      <c r="M828" s="64"/>
      <c r="N828" s="54"/>
    </row>
    <row r="829" spans="1:14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64"/>
      <c r="L829" s="143"/>
      <c r="M829" s="64"/>
      <c r="N829" s="54"/>
    </row>
    <row r="830" spans="1:14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64"/>
      <c r="L830" s="143"/>
      <c r="M830" s="64"/>
      <c r="N830" s="54"/>
    </row>
    <row r="831" spans="1:14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64"/>
      <c r="L831" s="143"/>
      <c r="M831" s="64"/>
      <c r="N831" s="54"/>
    </row>
    <row r="832" spans="1:14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64"/>
      <c r="L832" s="143"/>
      <c r="M832" s="64"/>
      <c r="N832" s="54"/>
    </row>
    <row r="833" spans="1:14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64"/>
      <c r="L833" s="143"/>
      <c r="M833" s="64"/>
      <c r="N833" s="54"/>
    </row>
    <row r="834" spans="1:1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64"/>
      <c r="L834" s="143"/>
      <c r="M834" s="64"/>
      <c r="N834" s="54"/>
    </row>
    <row r="835" spans="1:14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64"/>
      <c r="L835" s="143"/>
      <c r="M835" s="64"/>
      <c r="N835" s="54"/>
    </row>
    <row r="836" spans="1:14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64"/>
      <c r="L836" s="143"/>
      <c r="M836" s="64"/>
      <c r="N836" s="54"/>
    </row>
    <row r="837" spans="1:14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64"/>
      <c r="L837" s="143"/>
      <c r="M837" s="64"/>
      <c r="N837" s="54"/>
    </row>
    <row r="838" spans="1:14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64"/>
      <c r="L838" s="143"/>
      <c r="M838" s="64"/>
      <c r="N838" s="54"/>
    </row>
    <row r="839" spans="1:14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64"/>
      <c r="L839" s="143"/>
      <c r="M839" s="64"/>
      <c r="N839" s="54"/>
    </row>
    <row r="840" spans="1:14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64"/>
      <c r="L840" s="143"/>
      <c r="M840" s="64"/>
      <c r="N840" s="54"/>
    </row>
    <row r="841" spans="1:14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64"/>
      <c r="L841" s="143"/>
      <c r="M841" s="64"/>
      <c r="N841" s="54"/>
    </row>
    <row r="842" spans="1:14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64"/>
      <c r="L842" s="143"/>
      <c r="M842" s="64"/>
      <c r="N842" s="54"/>
    </row>
    <row r="843" spans="1:14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64"/>
      <c r="L843" s="143"/>
      <c r="M843" s="64"/>
      <c r="N843" s="54"/>
    </row>
    <row r="844" spans="1:1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64"/>
      <c r="L844" s="143"/>
      <c r="M844" s="64"/>
      <c r="N844" s="54"/>
    </row>
    <row r="845" spans="1:14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64"/>
      <c r="L845" s="143"/>
      <c r="M845" s="64"/>
      <c r="N845" s="54"/>
    </row>
    <row r="846" spans="1:14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64"/>
      <c r="L846" s="143"/>
      <c r="M846" s="64"/>
      <c r="N846" s="54"/>
    </row>
    <row r="847" spans="1:14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64"/>
      <c r="L847" s="143"/>
      <c r="M847" s="64"/>
      <c r="N847" s="54"/>
    </row>
    <row r="848" spans="1:14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64"/>
      <c r="L848" s="143"/>
      <c r="M848" s="64"/>
      <c r="N848" s="54"/>
    </row>
    <row r="849" spans="1:14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64"/>
      <c r="L849" s="143"/>
      <c r="M849" s="64"/>
      <c r="N849" s="54"/>
    </row>
    <row r="850" spans="1:14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64"/>
      <c r="L850" s="143"/>
      <c r="M850" s="64"/>
      <c r="N850" s="54"/>
    </row>
    <row r="851" spans="1:14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64"/>
      <c r="L851" s="143"/>
      <c r="M851" s="64"/>
      <c r="N851" s="54"/>
    </row>
    <row r="852" spans="1:14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64"/>
      <c r="L852" s="143"/>
      <c r="M852" s="64"/>
      <c r="N852" s="54"/>
    </row>
    <row r="853" spans="1:14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64"/>
      <c r="L853" s="143"/>
      <c r="M853" s="64"/>
      <c r="N853" s="54"/>
    </row>
    <row r="854" spans="1:1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64"/>
      <c r="L854" s="143"/>
      <c r="M854" s="64"/>
      <c r="N854" s="54"/>
    </row>
    <row r="855" spans="1:14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64"/>
      <c r="L855" s="143"/>
      <c r="M855" s="64"/>
      <c r="N855" s="54"/>
    </row>
    <row r="856" spans="1:14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64"/>
      <c r="L856" s="143"/>
      <c r="M856" s="64"/>
      <c r="N856" s="54"/>
    </row>
    <row r="857" spans="1:14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64"/>
      <c r="L857" s="143"/>
      <c r="M857" s="64"/>
      <c r="N857" s="54"/>
    </row>
    <row r="858" spans="1:14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64"/>
      <c r="L858" s="143"/>
      <c r="M858" s="64"/>
      <c r="N858" s="54"/>
    </row>
    <row r="859" spans="1:14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64"/>
      <c r="L859" s="143"/>
      <c r="M859" s="64"/>
      <c r="N859" s="54"/>
    </row>
    <row r="860" spans="1:14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64"/>
      <c r="L860" s="143"/>
      <c r="M860" s="64"/>
      <c r="N860" s="54"/>
    </row>
    <row r="861" spans="1:14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64"/>
      <c r="L861" s="143"/>
      <c r="M861" s="64"/>
      <c r="N861" s="54"/>
    </row>
    <row r="862" spans="1:14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64"/>
      <c r="L862" s="143"/>
      <c r="M862" s="64"/>
      <c r="N862" s="54"/>
    </row>
    <row r="863" spans="1:14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64"/>
      <c r="L863" s="143"/>
      <c r="M863" s="64"/>
      <c r="N863" s="54"/>
    </row>
    <row r="864" spans="1:1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64"/>
      <c r="L864" s="143"/>
      <c r="M864" s="64"/>
      <c r="N864" s="54"/>
    </row>
    <row r="865" spans="1:14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64"/>
      <c r="L865" s="143"/>
      <c r="M865" s="64"/>
      <c r="N865" s="54"/>
    </row>
    <row r="866" spans="1:14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64"/>
      <c r="L866" s="143"/>
      <c r="M866" s="64"/>
      <c r="N866" s="54"/>
    </row>
    <row r="867" spans="1:14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64"/>
      <c r="L867" s="143"/>
      <c r="M867" s="64"/>
      <c r="N867" s="54"/>
    </row>
    <row r="868" spans="1:14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64"/>
      <c r="L868" s="143"/>
      <c r="M868" s="64"/>
      <c r="N868" s="54"/>
    </row>
    <row r="869" spans="1:14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64"/>
      <c r="L869" s="143"/>
      <c r="M869" s="64"/>
      <c r="N869" s="54"/>
    </row>
    <row r="870" spans="1:14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64"/>
      <c r="L870" s="143"/>
      <c r="M870" s="64"/>
      <c r="N870" s="54"/>
    </row>
    <row r="871" spans="1:14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64"/>
      <c r="L871" s="143"/>
      <c r="M871" s="64"/>
      <c r="N871" s="54"/>
    </row>
    <row r="872" spans="1:14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64"/>
      <c r="L872" s="143"/>
      <c r="M872" s="64"/>
      <c r="N872" s="54"/>
    </row>
    <row r="873" spans="1:14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64"/>
      <c r="L873" s="143"/>
      <c r="M873" s="64"/>
      <c r="N873" s="54"/>
    </row>
    <row r="874" spans="1:1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64"/>
      <c r="L874" s="143"/>
      <c r="M874" s="64"/>
      <c r="N874" s="54"/>
    </row>
    <row r="875" spans="1:14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64"/>
      <c r="L875" s="143"/>
      <c r="M875" s="64"/>
      <c r="N875" s="54"/>
    </row>
    <row r="876" spans="1:14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64"/>
      <c r="L876" s="143"/>
      <c r="M876" s="64"/>
      <c r="N876" s="54"/>
    </row>
    <row r="877" spans="1:14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64"/>
      <c r="L877" s="143"/>
      <c r="M877" s="64"/>
      <c r="N877" s="54"/>
    </row>
    <row r="878" spans="1:14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64"/>
      <c r="L878" s="143"/>
      <c r="M878" s="64"/>
      <c r="N878" s="54"/>
    </row>
    <row r="879" spans="1:14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64"/>
      <c r="L879" s="143"/>
      <c r="M879" s="64"/>
      <c r="N879" s="54"/>
    </row>
    <row r="880" spans="1:14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64"/>
      <c r="L880" s="143"/>
      <c r="M880" s="64"/>
      <c r="N880" s="54"/>
    </row>
    <row r="881" spans="1:14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64"/>
      <c r="L881" s="143"/>
      <c r="M881" s="64"/>
      <c r="N881" s="54"/>
    </row>
    <row r="882" spans="1:14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64"/>
      <c r="L882" s="143"/>
      <c r="M882" s="64"/>
      <c r="N882" s="54"/>
    </row>
    <row r="883" spans="1:14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64"/>
      <c r="L883" s="143"/>
      <c r="M883" s="64"/>
      <c r="N883" s="54"/>
    </row>
    <row r="884" spans="1:1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64"/>
      <c r="L884" s="143"/>
      <c r="M884" s="64"/>
      <c r="N884" s="54"/>
    </row>
    <row r="885" spans="1:14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64"/>
      <c r="L885" s="143"/>
      <c r="M885" s="64"/>
      <c r="N885" s="54"/>
    </row>
    <row r="886" spans="1:14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64"/>
      <c r="L886" s="143"/>
      <c r="M886" s="64"/>
      <c r="N886" s="54"/>
    </row>
    <row r="887" spans="1:14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64"/>
      <c r="L887" s="143"/>
      <c r="M887" s="64"/>
      <c r="N887" s="54"/>
    </row>
    <row r="888" spans="1:14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64"/>
      <c r="L888" s="143"/>
      <c r="M888" s="64"/>
      <c r="N888" s="54"/>
    </row>
  </sheetData>
  <autoFilter ref="A3:N631">
    <filterColumn colId="3">
      <filters>
        <filter val="1313"/>
      </filters>
    </filterColumn>
  </autoFilter>
  <mergeCells count="241">
    <mergeCell ref="K626:K627"/>
    <mergeCell ref="M626:M627"/>
    <mergeCell ref="N626:N627"/>
    <mergeCell ref="K628:K629"/>
    <mergeCell ref="M628:M629"/>
    <mergeCell ref="N628:N629"/>
    <mergeCell ref="K565:K566"/>
    <mergeCell ref="M565:M566"/>
    <mergeCell ref="N565:N566"/>
    <mergeCell ref="K577:K589"/>
    <mergeCell ref="K590:K602"/>
    <mergeCell ref="M577:M589"/>
    <mergeCell ref="N577:N589"/>
    <mergeCell ref="M590:M602"/>
    <mergeCell ref="N590:N602"/>
    <mergeCell ref="K573:K574"/>
    <mergeCell ref="M573:M574"/>
    <mergeCell ref="N573:N574"/>
    <mergeCell ref="K575:K576"/>
    <mergeCell ref="M575:M576"/>
    <mergeCell ref="N575:N576"/>
    <mergeCell ref="K615:K617"/>
    <mergeCell ref="M615:M617"/>
    <mergeCell ref="N615:N617"/>
    <mergeCell ref="K563:K564"/>
    <mergeCell ref="M563:M564"/>
    <mergeCell ref="N563:N564"/>
    <mergeCell ref="K553:K554"/>
    <mergeCell ref="K555:K556"/>
    <mergeCell ref="K557:K559"/>
    <mergeCell ref="K560:K562"/>
    <mergeCell ref="M553:M554"/>
    <mergeCell ref="M555:M556"/>
    <mergeCell ref="N521:N522"/>
    <mergeCell ref="K521:K522"/>
    <mergeCell ref="M521:M522"/>
    <mergeCell ref="K523:K524"/>
    <mergeCell ref="K525:K526"/>
    <mergeCell ref="M523:M524"/>
    <mergeCell ref="N523:N524"/>
    <mergeCell ref="M525:M526"/>
    <mergeCell ref="N525:N526"/>
    <mergeCell ref="K527:K530"/>
    <mergeCell ref="K531:K534"/>
    <mergeCell ref="M527:M530"/>
    <mergeCell ref="M531:M534"/>
    <mergeCell ref="N527:N530"/>
    <mergeCell ref="N531:N534"/>
    <mergeCell ref="M557:M559"/>
    <mergeCell ref="M560:M562"/>
    <mergeCell ref="N557:N559"/>
    <mergeCell ref="N560:N562"/>
    <mergeCell ref="N553:N554"/>
    <mergeCell ref="N555:N556"/>
    <mergeCell ref="K505:K506"/>
    <mergeCell ref="K507:K508"/>
    <mergeCell ref="M505:M506"/>
    <mergeCell ref="M507:M508"/>
    <mergeCell ref="N505:N506"/>
    <mergeCell ref="N507:N508"/>
    <mergeCell ref="K332:K334"/>
    <mergeCell ref="M332:M334"/>
    <mergeCell ref="N332:N334"/>
    <mergeCell ref="K421:K452"/>
    <mergeCell ref="K453:K484"/>
    <mergeCell ref="M421:M452"/>
    <mergeCell ref="N421:N452"/>
    <mergeCell ref="M453:M484"/>
    <mergeCell ref="N453:N484"/>
    <mergeCell ref="K405:K408"/>
    <mergeCell ref="M405:M408"/>
    <mergeCell ref="N405:N408"/>
    <mergeCell ref="K409:K411"/>
    <mergeCell ref="K412:K414"/>
    <mergeCell ref="M409:M411"/>
    <mergeCell ref="N409:N411"/>
    <mergeCell ref="M412:M414"/>
    <mergeCell ref="N412:N414"/>
    <mergeCell ref="K390:K393"/>
    <mergeCell ref="M390:M393"/>
    <mergeCell ref="N390:N393"/>
    <mergeCell ref="K386:K389"/>
    <mergeCell ref="M386:M389"/>
    <mergeCell ref="N386:N389"/>
    <mergeCell ref="K323:K324"/>
    <mergeCell ref="M323:M324"/>
    <mergeCell ref="N323:N324"/>
    <mergeCell ref="K329:K331"/>
    <mergeCell ref="M329:M331"/>
    <mergeCell ref="N329:N331"/>
    <mergeCell ref="K317:K318"/>
    <mergeCell ref="M317:M318"/>
    <mergeCell ref="N317:N318"/>
    <mergeCell ref="K321:K322"/>
    <mergeCell ref="M321:M322"/>
    <mergeCell ref="N321:N322"/>
    <mergeCell ref="K309:K310"/>
    <mergeCell ref="M309:M310"/>
    <mergeCell ref="N309:N310"/>
    <mergeCell ref="K315:K316"/>
    <mergeCell ref="M315:M316"/>
    <mergeCell ref="N315:N316"/>
    <mergeCell ref="K301:K302"/>
    <mergeCell ref="M301:M302"/>
    <mergeCell ref="N301:N302"/>
    <mergeCell ref="K307:K308"/>
    <mergeCell ref="M307:M308"/>
    <mergeCell ref="N307:N308"/>
    <mergeCell ref="K84:K86"/>
    <mergeCell ref="M84:M86"/>
    <mergeCell ref="N84:N86"/>
    <mergeCell ref="K87:K89"/>
    <mergeCell ref="M87:M89"/>
    <mergeCell ref="K152:K153"/>
    <mergeCell ref="M152:M153"/>
    <mergeCell ref="N152:N153"/>
    <mergeCell ref="K154:K155"/>
    <mergeCell ref="M154:M155"/>
    <mergeCell ref="N154:N155"/>
    <mergeCell ref="K144:K146"/>
    <mergeCell ref="M144:M146"/>
    <mergeCell ref="N144:N146"/>
    <mergeCell ref="K147:K149"/>
    <mergeCell ref="M147:M149"/>
    <mergeCell ref="N147:N149"/>
    <mergeCell ref="N87:N89"/>
    <mergeCell ref="K90:K93"/>
    <mergeCell ref="K94:K97"/>
    <mergeCell ref="M90:M93"/>
    <mergeCell ref="M94:M97"/>
    <mergeCell ref="N90:N93"/>
    <mergeCell ref="N94:N97"/>
    <mergeCell ref="B2:N2"/>
    <mergeCell ref="K74:K76"/>
    <mergeCell ref="K77:K79"/>
    <mergeCell ref="M74:M76"/>
    <mergeCell ref="M77:M79"/>
    <mergeCell ref="N74:N76"/>
    <mergeCell ref="N77:N79"/>
    <mergeCell ref="K80:K81"/>
    <mergeCell ref="K82:K83"/>
    <mergeCell ref="M80:M81"/>
    <mergeCell ref="M82:M83"/>
    <mergeCell ref="N80:N81"/>
    <mergeCell ref="N82:N83"/>
    <mergeCell ref="K98:K101"/>
    <mergeCell ref="M98:M101"/>
    <mergeCell ref="N98:N101"/>
    <mergeCell ref="K102:K105"/>
    <mergeCell ref="M102:M105"/>
    <mergeCell ref="N102:N105"/>
    <mergeCell ref="K382:K385"/>
    <mergeCell ref="M382:M385"/>
    <mergeCell ref="N382:N385"/>
    <mergeCell ref="K124:K126"/>
    <mergeCell ref="M124:M126"/>
    <mergeCell ref="N124:N126"/>
    <mergeCell ref="K127:K129"/>
    <mergeCell ref="M127:M129"/>
    <mergeCell ref="N127:N129"/>
    <mergeCell ref="K120:K121"/>
    <mergeCell ref="M120:M121"/>
    <mergeCell ref="N120:N121"/>
    <mergeCell ref="K122:K123"/>
    <mergeCell ref="M122:M123"/>
    <mergeCell ref="N122:N123"/>
    <mergeCell ref="N156:N157"/>
    <mergeCell ref="K158:K159"/>
    <mergeCell ref="M158:M159"/>
    <mergeCell ref="K172:K173"/>
    <mergeCell ref="M172:M173"/>
    <mergeCell ref="N172:N173"/>
    <mergeCell ref="K174:K175"/>
    <mergeCell ref="M174:M175"/>
    <mergeCell ref="N174:N175"/>
    <mergeCell ref="K130:K133"/>
    <mergeCell ref="M130:M133"/>
    <mergeCell ref="N130:N133"/>
    <mergeCell ref="K134:K137"/>
    <mergeCell ref="M134:M137"/>
    <mergeCell ref="N134:N137"/>
    <mergeCell ref="K162:K163"/>
    <mergeCell ref="M162:M163"/>
    <mergeCell ref="N162:N163"/>
    <mergeCell ref="K156:K157"/>
    <mergeCell ref="M156:M157"/>
    <mergeCell ref="N158:N159"/>
    <mergeCell ref="K164:K165"/>
    <mergeCell ref="M164:M165"/>
    <mergeCell ref="N164:N165"/>
    <mergeCell ref="K182:K183"/>
    <mergeCell ref="M182:M183"/>
    <mergeCell ref="N182:N183"/>
    <mergeCell ref="K184:K185"/>
    <mergeCell ref="M184:M185"/>
    <mergeCell ref="N184:N185"/>
    <mergeCell ref="K275:K276"/>
    <mergeCell ref="M275:M276"/>
    <mergeCell ref="N275:N276"/>
    <mergeCell ref="K252:K253"/>
    <mergeCell ref="M252:M253"/>
    <mergeCell ref="N252:N253"/>
    <mergeCell ref="K254:K255"/>
    <mergeCell ref="M254:M255"/>
    <mergeCell ref="N254:N255"/>
    <mergeCell ref="K256:K258"/>
    <mergeCell ref="M256:M258"/>
    <mergeCell ref="N256:N258"/>
    <mergeCell ref="K297:K298"/>
    <mergeCell ref="M297:M298"/>
    <mergeCell ref="N297:N298"/>
    <mergeCell ref="K299:K300"/>
    <mergeCell ref="M299:M300"/>
    <mergeCell ref="N299:N300"/>
    <mergeCell ref="K291:K294"/>
    <mergeCell ref="M291:M294"/>
    <mergeCell ref="N291:N294"/>
    <mergeCell ref="K295:K296"/>
    <mergeCell ref="M295:M296"/>
    <mergeCell ref="N295:N296"/>
    <mergeCell ref="K277:K278"/>
    <mergeCell ref="M277:M278"/>
    <mergeCell ref="N277:N278"/>
    <mergeCell ref="K269:K271"/>
    <mergeCell ref="M269:M271"/>
    <mergeCell ref="N269:N271"/>
    <mergeCell ref="K287:K290"/>
    <mergeCell ref="M287:M290"/>
    <mergeCell ref="N287:N290"/>
    <mergeCell ref="K272:K274"/>
    <mergeCell ref="M272:M274"/>
    <mergeCell ref="N272:N274"/>
    <mergeCell ref="K604:K607"/>
    <mergeCell ref="M604:M607"/>
    <mergeCell ref="N604:N607"/>
    <mergeCell ref="K608:K611"/>
    <mergeCell ref="M608:M611"/>
    <mergeCell ref="N608:N611"/>
    <mergeCell ref="K612:K614"/>
    <mergeCell ref="M612:M614"/>
    <mergeCell ref="N612:N614"/>
  </mergeCells>
  <phoneticPr fontId="3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Anchoveta</vt:lpstr>
      <vt:lpstr>Sardina comun</vt:lpstr>
      <vt:lpstr>Anchov y SardC LTP</vt:lpstr>
      <vt:lpstr>IC Anch-SardC V-VII y IX-X</vt:lpstr>
      <vt:lpstr>IC Anch y SardC VIII</vt:lpstr>
      <vt:lpstr>Consumo humano</vt:lpstr>
      <vt:lpstr>Cuota Imprevistos</vt:lpstr>
      <vt:lpstr>Cesiones Indiv y Colecti VIII</vt:lpstr>
      <vt:lpstr>Cesiones Ind IX-XIV</vt:lpstr>
      <vt:lpstr>Remanente Cesiones</vt:lpstr>
      <vt:lpstr>Pescas de Investigacion</vt:lpstr>
      <vt:lpstr>Compilado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PEREZ SALGADO, NICOLAS RODRIGO</cp:lastModifiedBy>
  <dcterms:created xsi:type="dcterms:W3CDTF">2019-10-14T15:00:49Z</dcterms:created>
  <dcterms:modified xsi:type="dcterms:W3CDTF">2024-07-11T17:22:39Z</dcterms:modified>
</cp:coreProperties>
</file>